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sfsitoQJPw61GSwBoGWFmbWQcUy8EH9y2vPU3wzLtHikUjxFiTKmxoGrmRfMYD4HlYTrPDwrshQWfkYhygEPjw==" workbookSaltValue="/qGfLYi4GG66Zpkohozb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D11" i="13"/>
  <c r="BC18" i="13"/>
  <c r="BF17" i="8"/>
  <c r="BC13" i="13"/>
  <c r="BK19" i="13"/>
  <c r="ER19" i="8"/>
  <c r="EL19" i="8"/>
  <c r="EQ19" i="8"/>
  <c r="ES19" i="8"/>
  <c r="AC19" i="8"/>
  <c r="BH19" i="13"/>
  <c r="EP19" i="8"/>
  <c r="EP19" i="19"/>
  <c r="AT17" i="20"/>
  <c r="K18" i="2"/>
  <c r="M13" i="2"/>
  <c r="T13" i="12"/>
  <c r="T13" i="16"/>
  <c r="T13" i="20"/>
  <c r="BB13" i="13"/>
  <c r="BF9" i="8"/>
  <c r="J18" i="17"/>
  <c r="BG15" i="13"/>
  <c r="BA18" i="13"/>
  <c r="BE15" i="13"/>
  <c r="AO20" i="20"/>
  <c r="AN20" i="20"/>
  <c r="Y20" i="20"/>
  <c r="U10" i="11"/>
  <c r="AH20" i="20"/>
  <c r="AL20" i="20"/>
  <c r="AB20" i="20"/>
  <c r="AJ19" i="8" l="1"/>
  <c r="X19" i="8"/>
  <c r="E18" i="7"/>
  <c r="T19" i="8"/>
  <c r="H13" i="12"/>
  <c r="AC10" i="11"/>
  <c r="D10" i="6"/>
  <c r="AL9" i="11"/>
  <c r="N13" i="2"/>
  <c r="F9" i="2"/>
  <c r="AL12" i="11"/>
  <c r="C17" i="6"/>
  <c r="B10" i="6"/>
  <c r="H12" i="7"/>
  <c r="R8" i="9"/>
  <c r="X12" i="21" s="1"/>
  <c r="E12" i="6"/>
  <c r="AO12" i="11"/>
  <c r="H12" i="2"/>
  <c r="AY13" i="8"/>
  <c r="L9" i="14"/>
  <c r="C10" i="6"/>
  <c r="AY13" i="13"/>
  <c r="BG15" i="8"/>
  <c r="K15" i="7" s="1"/>
  <c r="BD16" i="8"/>
  <c r="AO17" i="11"/>
  <c r="L16" i="14"/>
  <c r="L17" i="14"/>
  <c r="AZ18" i="13"/>
  <c r="F15" i="17"/>
  <c r="AQ15" i="17" s="1"/>
  <c r="L12" i="14"/>
  <c r="BA13" i="13"/>
  <c r="T17" i="11"/>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P18" i="17" s="1"/>
  <c r="P19" i="17" s="1"/>
  <c r="BF12" i="11"/>
  <c r="BL15" i="11"/>
  <c r="BL10" i="11"/>
  <c r="BH10" i="16"/>
  <c r="Q15" i="17"/>
  <c r="BM17" i="11"/>
  <c r="BF15" i="11"/>
  <c r="BM9" i="11"/>
  <c r="BH12" i="16"/>
  <c r="BK10" i="11"/>
  <c r="L15" i="2"/>
  <c r="L17" i="2"/>
  <c r="V10" i="16"/>
  <c r="V9" i="16"/>
  <c r="AP16" i="20"/>
  <c r="V15"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U9" i="17"/>
  <c r="U19" i="17" s="1"/>
  <c r="BL16" i="11"/>
  <c r="AQ12" i="21"/>
  <c r="BG16" i="11"/>
  <c r="BK16" i="11"/>
  <c r="AQ10" i="21"/>
  <c r="BH10" i="11"/>
  <c r="BG12" i="11"/>
  <c r="V12" i="16"/>
  <c r="U10" i="17"/>
  <c r="BV11"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K9" i="12" s="1"/>
  <c r="H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F13" i="2"/>
  <c r="J18" i="2"/>
  <c r="BG13" i="13"/>
  <c r="BH15" i="11"/>
  <c r="BH9" i="16"/>
  <c r="BU12" i="17"/>
  <c r="BW10" i="20"/>
  <c r="Q17" i="17"/>
  <c r="BJ10" i="11"/>
  <c r="BH16" i="11"/>
  <c r="L9" i="2"/>
  <c r="BW11" i="20"/>
  <c r="AZ12" i="11"/>
  <c r="BI9" i="11"/>
  <c r="BH11" i="11"/>
  <c r="BJ16" i="11"/>
  <c r="BJ18" i="11" s="1"/>
  <c r="L16" i="2"/>
  <c r="J13" i="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F13" i="21"/>
  <c r="F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<sst xmlns="http://schemas.openxmlformats.org/spreadsheetml/2006/main" count="2102" uniqueCount="916">
  <si>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</si>
  <si>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</si>
  <si>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</si>
  <si>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</si>
  <si>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</si>
  <si>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</si>
  <si>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</si>
  <si>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</si>
  <si>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</si>
  <si>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</si>
  <si>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</si>
  <si>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</si>
  <si>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</si>
  <si>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</si>
  <si>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</si>
  <si>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</si>
  <si>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</si>
  <si>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</si>
  <si>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</si>
  <si>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</si>
  <si>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</si>
  <si>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</si>
  <si>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</si>
  <si>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</si>
  <si>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</si>
  <si>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</si>
  <si>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</si>
  <si>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</si>
  <si>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</si>
  <si>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</si>
  <si>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</si>
  <si>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</si>
  <si>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</si>
  <si>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</si>
  <si>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</si>
  <si>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</si>
  <si>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</si>
  <si>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</si>
  <si>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</si>
  <si>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</si>
  <si>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</si>
  <si>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</si>
  <si>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</si>
  <si>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</si>
  <si>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</si>
  <si>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</si>
  <si>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</si>
  <si>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</si>
  <si>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</si>
  <si>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</si>
  <si>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</si>
  <si>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</si>
  <si>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</si>
  <si>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</si>
  <si>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</si>
  <si>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</si>
  <si>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</si>
  <si>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</si>
  <si>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</si>
  <si>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</si>
  <si>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</si>
  <si>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</si>
  <si>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</si>
  <si>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</si>
  <si>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</si>
  <si>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</si>
  <si>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</si>
  <si>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</si>
  <si>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</si>
  <si>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</si>
  <si>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</si>
  <si>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</si>
  <si>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</si>
  <si>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</si>
  <si>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</si>
  <si>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</si>
  <si>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</si>
  <si>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</si>
  <si>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</si>
  <si>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</si>
  <si>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</si>
  <si>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</si>
  <si>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</si>
  <si>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</si>
  <si>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</si>
  <si>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</si>
  <si>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</si>
  <si>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</si>
  <si>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</si>
  <si>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</si>
  <si>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</si>
  <si>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</si>
  <si>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</si>
  <si>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</si>
  <si>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</si>
  <si>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</si>
  <si>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</si>
  <si>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</si>
  <si>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</si>
  <si>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</si>
  <si>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</si>
  <si>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</si>
  <si>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</si>
  <si>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</si>
  <si>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</si>
  <si>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</si>
  <si>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</si>
  <si>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</si>
  <si>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</si>
  <si>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</si>
  <si>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</si>
  <si>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</si>
  <si>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</si>
  <si>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</si>
  <si>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</si>
  <si>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</si>
  <si>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</si>
  <si>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</si>
  <si>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</si>
  <si>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</si>
  <si>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</si>
  <si>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</si>
  <si>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</si>
  <si>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</si>
  <si>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</si>
  <si>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</si>
  <si>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</si>
  <si>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</si>
  <si>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</si>
  <si>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</si>
  <si>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</si>
  <si>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</si>
  <si>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</si>
  <si>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</si>
  <si>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</si>
  <si>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</si>
  <si>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</si>
  <si>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</si>
  <si>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</si>
  <si>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</si>
  <si>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</si>
  <si>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</si>
  <si>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</si>
  <si>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</si>
  <si>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</si>
  <si>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</si>
  <si>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</si>
  <si>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</si>
  <si>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</si>
  <si>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</si>
  <si>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</si>
  <si>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</si>
  <si>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</si>
  <si>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</si>
  <si>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</si>
  <si>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</si>
  <si>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</si>
  <si>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</si>
  <si>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</si>
  <si>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</si>
  <si>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</si>
  <si>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</si>
  <si>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</si>
  <si>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</si>
  <si>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</si>
  <si>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</si>
  <si>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</si>
  <si>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</si>
  <si>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</si>
  <si>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</si>
  <si>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</si>
  <si>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</si>
  <si>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</si>
  <si>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</si>
  <si>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</si>
  <si>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</si>
  <si>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</si>
  <si>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</si>
  <si>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</si>
  <si>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</si>
  <si>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</si>
  <si>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</si>
  <si>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</si>
  <si>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</si>
  <si>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</si>
  <si>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</si>
  <si>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</si>
  <si>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</si>
  <si>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</si>
  <si>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</si>
  <si>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</si>
  <si>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</si>
  <si>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</si>
  <si>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</si>
  <si>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</si>
  <si>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</si>
  <si>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</si>
  <si>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</si>
  <si>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</si>
  <si>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</si>
  <si>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</si>
  <si>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</si>
  <si>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</si>
  <si>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</si>
  <si>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</si>
  <si>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</si>
  <si>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</si>
  <si>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</si>
  <si>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</si>
  <si>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</si>
  <si>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</si>
  <si>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</si>
  <si>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</si>
  <si>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</si>
  <si>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</si>
  <si>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</si>
  <si>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</si>
  <si>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</si>
  <si>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</si>
  <si>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</si>
  <si>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</si>
  <si>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</si>
  <si>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</si>
  <si>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</si>
  <si>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</si>
  <si>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</si>
  <si>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</si>
  <si>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</si>
  <si>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</si>
  <si>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</si>
  <si>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</si>
  <si>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</si>
  <si>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</si>
  <si>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</si>
  <si>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</si>
  <si>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</si>
  <si>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</si>
  <si>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</si>
  <si>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</si>
  <si>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</si>
  <si>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</si>
  <si>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</si>
  <si>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</si>
  <si>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</si>
  <si>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</si>
  <si>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</si>
  <si>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</si>
  <si>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</si>
  <si>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</si>
  <si>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</si>
  <si>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</si>
  <si>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</si>
  <si>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</si>
  <si>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</si>
  <si>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</si>
  <si>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</si>
  <si>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</si>
  <si>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</si>
  <si>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</si>
  <si>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</si>
  <si>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</si>
  <si>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</si>
  <si>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</si>
  <si>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</si>
  <si>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</si>
  <si>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</si>
  <si>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</si>
  <si>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</si>
  <si>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</si>
  <si>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</si>
  <si>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</si>
  <si>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</si>
  <si>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</si>
  <si>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</si>
  <si>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</si>
  <si>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</si>
  <si>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</si>
  <si>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</si>
  <si>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</si>
  <si>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</si>
  <si>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</si>
  <si>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</si>
  <si>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</si>
  <si>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</si>
  <si>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</si>
  <si>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</si>
  <si>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</si>
  <si>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</si>
  <si>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</si>
  <si>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</si>
  <si>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</si>
  <si>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</si>
  <si>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</si>
  <si>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</si>
  <si>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</si>
  <si>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</si>
  <si>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</si>
  <si>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</si>
  <si>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</si>
  <si>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</si>
  <si>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</si>
  <si>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</si>
  <si>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</si>
  <si>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</si>
  <si>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</si>
  <si>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</si>
  <si>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</si>
  <si>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</si>
  <si>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</si>
  <si>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</si>
  <si>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</si>
  <si>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</si>
  <si>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</si>
  <si>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</si>
  <si>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</si>
  <si>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</si>
  <si>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</si>
  <si>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</si>
  <si>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</si>
  <si>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</si>
  <si>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</si>
  <si>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</si>
  <si>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</si>
  <si>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</si>
  <si>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</si>
  <si>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</si>
  <si>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</si>
  <si>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</si>
  <si>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</si>
  <si>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</si>
  <si>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</si>
  <si>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</si>
  <si>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</si>
  <si>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</si>
  <si>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</si>
  <si>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</si>
  <si>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</si>
  <si>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</si>
  <si>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</si>
  <si>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</si>
  <si>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</si>
  <si>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</si>
  <si>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</si>
  <si>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</si>
  <si>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</si>
  <si>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</si>
  <si>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</si>
  <si>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</si>
  <si>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</si>
  <si>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</si>
  <si>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</si>
  <si>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</si>
  <si>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</si>
  <si>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</si>
  <si>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</si>
  <si>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</si>
  <si>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</si>
  <si>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</si>
  <si>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</si>
  <si>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</si>
  <si>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</si>
  <si>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</si>
  <si>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</si>
  <si>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</si>
  <si>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</si>
  <si>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</si>
  <si>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</si>
  <si>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</si>
  <si>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</si>
  <si>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</si>
  <si>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</si>
  <si>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</si>
  <si>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</si>
  <si>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</si>
  <si>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</si>
  <si>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</si>
  <si>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</si>
  <si>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</si>
  <si>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</si>
  <si>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</si>
  <si>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</si>
  <si>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</si>
  <si>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</si>
  <si>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</si>
  <si>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</si>
  <si>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</si>
  <si>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</si>
  <si>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</si>
  <si>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</si>
  <si>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</si>
  <si>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</si>
  <si>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</si>
  <si>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</si>
  <si>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</si>
  <si>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</si>
  <si>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</si>
  <si>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</si>
  <si>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</si>
  <si>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</si>
  <si>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</si>
  <si>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</si>
  <si>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</si>
  <si>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</si>
  <si>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</si>
  <si>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</si>
  <si>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</si>
  <si>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</si>
  <si>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</si>
  <si>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</si>
  <si>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</si>
  <si>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</si>
  <si>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</si>
  <si>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</si>
  <si>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</si>
  <si>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</si>
  <si>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</si>
  <si>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</si>
  <si>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</si>
  <si>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</si>
  <si>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</si>
  <si>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</si>
  <si>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</si>
  <si>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</si>
  <si>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</si>
  <si>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</si>
  <si>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</si>
  <si>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</si>
  <si>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</si>
  <si>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</si>
  <si>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</si>
  <si>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</si>
  <si>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</si>
  <si>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</si>
  <si>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</si>
  <si>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</si>
  <si>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</si>
  <si>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</si>
  <si>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</si>
  <si>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</si>
  <si>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</si>
  <si>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</si>
  <si>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</si>
  <si>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</si>
  <si>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</si>
  <si>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</si>
  <si>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</si>
  <si>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</si>
  <si>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</si>
  <si>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</si>
  <si>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</si>
  <si>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</si>
  <si>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</si>
  <si>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</si>
  <si>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</si>
  <si>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</si>
  <si>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</si>
  <si>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</si>
  <si>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</si>
  <si>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</si>
  <si>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</si>
  <si>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</si>
  <si>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</si>
  <si>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</si>
  <si>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</si>
  <si>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</si>
  <si>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</si>
  <si>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</si>
  <si>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</si>
  <si>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</si>
  <si>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</si>
  <si>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</si>
  <si>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</si>
  <si>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</si>
  <si>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</si>
  <si>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</si>
  <si>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</si>
  <si>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</si>
  <si>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</si>
  <si>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</si>
  <si>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</si>
  <si>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</si>
  <si>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</si>
  <si>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</si>
  <si>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</si>
  <si>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</si>
  <si>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</si>
  <si>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</si>
  <si>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</si>
  <si>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</si>
  <si>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</si>
  <si>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</si>
  <si>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</si>
  <si>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</si>
  <si>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</si>
  <si>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</si>
  <si>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</si>
  <si>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</si>
  <si>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</si>
  <si>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</si>
  <si>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</si>
  <si>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</si>
  <si>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</si>
  <si>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</si>
  <si>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</si>
  <si>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</si>
  <si>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</si>
  <si>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</si>
  <si>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</si>
  <si>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</si>
  <si>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</si>
  <si>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</si>
  <si>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</si>
  <si>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</si>
  <si>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</si>
  <si>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</si>
  <si>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</si>
  <si>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</si>
  <si>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</si>
  <si>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</si>
  <si>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</si>
  <si>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</si>
  <si>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</si>
  <si>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</si>
  <si>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</si>
  <si>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</si>
  <si>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</si>
  <si>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</si>
  <si>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</si>
  <si>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</si>
  <si>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</si>
  <si>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</si>
  <si>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</si>
  <si>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</si>
  <si>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</si>
  <si>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</si>
  <si>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</si>
  <si>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</si>
  <si>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</si>
  <si>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</si>
  <si>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</si>
  <si>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</si>
  <si>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</si>
  <si>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</si>
  <si>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</si>
  <si>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</si>
  <si>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</si>
  <si>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</si>
  <si>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</si>
  <si>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</si>
  <si>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</si>
  <si>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</si>
  <si>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</si>
  <si>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</si>
  <si>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</si>
  <si>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</si>
  <si>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</si>
  <si>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</si>
  <si>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</si>
  <si>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</si>
  <si>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</si>
  <si>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</si>
  <si>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</si>
  <si>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</si>
  <si>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</si>
  <si>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</si>
  <si>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</si>
  <si>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</si>
  <si>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</si>
  <si>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</si>
  <si>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</si>
  <si>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</si>
  <si>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</si>
  <si>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</si>
  <si>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</si>
  <si>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</si>
  <si>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</si>
  <si>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</si>
  <si>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</si>
  <si>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</si>
  <si>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</si>
  <si>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</si>
  <si>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</si>
  <si>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</si>
  <si>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</si>
  <si>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</si>
  <si>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</si>
  <si>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</si>
  <si>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</si>
  <si>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</si>
  <si>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</si>
  <si>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</si>
  <si>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</si>
  <si>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</si>
  <si>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</si>
  <si>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</si>
  <si>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</si>
  <si>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</si>
  <si>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</si>
  <si>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</si>
  <si>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</si>
  <si>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</si>
  <si>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</si>
  <si>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</si>
  <si>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</si>
  <si>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</si>
  <si>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</si>
  <si>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</si>
  <si>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</si>
  <si>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</si>
  <si>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</si>
  <si>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</si>
  <si>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</si>
  <si>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</si>
  <si>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</si>
  <si>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</si>
  <si>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</si>
  <si>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</si>
  <si>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</si>
  <si>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</si>
  <si>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</si>
  <si>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</si>
  <si>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</si>
  <si>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</si>
  <si>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</si>
  <si>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</si>
  <si>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</si>
  <si>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</si>
  <si>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</si>
  <si>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</si>
  <si>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</si>
  <si>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</si>
  <si>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</si>
  <si>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</si>
  <si>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</si>
  <si>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</si>
  <si>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</si>
  <si>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</si>
  <si>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</si>
  <si>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</si>
  <si>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</si>
  <si>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</si>
  <si>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</si>
  <si>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</si>
  <si>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</si>
  <si>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</si>
  <si>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</si>
  <si>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</si>
  <si>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</si>
  <si>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</si>
  <si>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</si>
  <si>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</si>
  <si>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</si>
  <si>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</si>
  <si>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</si>
  <si>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</si>
  <si>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</si>
  <si>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</si>
  <si>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</si>
  <si>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</si>
  <si>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</si>
  <si>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</si>
  <si>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</si>
  <si>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</si>
  <si>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</si>
  <si>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</si>
  <si>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</si>
  <si>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</si>
  <si>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</si>
  <si>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</si>
  <si>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</si>
  <si>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</si>
  <si>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</si>
  <si>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</si>
  <si>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</si>
  <si>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</si>
  <si>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</si>
  <si>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</si>
  <si>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</si>
  <si>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</si>
  <si>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</si>
  <si>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</si>
  <si>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</si>
  <si>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</si>
  <si>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</si>
  <si>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</si>
  <si>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</si>
  <si>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</si>
  <si>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</si>
  <si>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</si>
  <si>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</si>
  <si>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</si>
  <si>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</si>
  <si>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</si>
  <si>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</si>
  <si>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</si>
  <si>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</si>
  <si>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</si>
  <si>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</si>
  <si>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</si>
  <si>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</si>
  <si>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</si>
  <si>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</si>
  <si>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</si>
  <si>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</si>
  <si>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</si>
  <si>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</si>
  <si>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</si>
  <si>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</si>
  <si>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</si>
  <si>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</si>
  <si>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</si>
  <si>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</si>
  <si>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</si>
  <si>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</si>
  <si>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</si>
  <si>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</si>
  <si>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</si>
  <si>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</si>
  <si>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</si>
  <si>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</si>
  <si>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</si>
  <si>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</si>
  <si>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</si>
  <si>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</si>
  <si>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</si>
  <si>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</si>
  <si>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</si>
  <si>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</si>
  <si>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</si>
  <si>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</si>
  <si>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</si>
  <si>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</si>
  <si>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</si>
  <si>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</si>
  <si>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</si>
  <si>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</si>
  <si>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</si>
  <si>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</si>
  <si>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</si>
  <si>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</si>
  <si>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</si>
  <si>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</si>
  <si>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</si>
  <si>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</si>
  <si>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</si>
  <si>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</si>
  <si>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</si>
  <si>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</si>
  <si>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</si>
  <si>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</si>
  <si>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</si>
  <si>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</si>
  <si>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</si>
  <si>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</si>
  <si>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</si>
  <si>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</si>
  <si>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</si>
  <si>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</si>
  <si>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</si>
  <si>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</si>
  <si>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</si>
  <si>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</si>
  <si>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</si>
  <si>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</si>
  <si>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</si>
  <si>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</si>
  <si>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</si>
  <si>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</si>
  <si>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</si>
  <si>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</si>
  <si>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</si>
  <si>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</si>
  <si>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</si>
  <si>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</si>
  <si>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</si>
  <si>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</si>
  <si>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</si>
  <si>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</si>
  <si>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</si>
  <si>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</si>
  <si>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</si>
  <si>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</si>
  <si>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</si>
  <si>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</si>
  <si>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</si>
  <si>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</si>
  <si>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</si>
  <si>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</si>
  <si>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</si>
  <si>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</si>
  <si>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</si>
  <si>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</si>
  <si>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</si>
  <si>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</si>
  <si>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</si>
  <si>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</si>
  <si>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</si>
  <si>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</si>
  <si>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</si>
  <si>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</si>
  <si>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</si>
  <si>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</si>
  <si>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</si>
  <si>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</si>
  <si>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</si>
  <si>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</si>
  <si>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</si>
  <si>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</si>
  <si>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</si>
  <si>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</si>
  <si>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</si>
  <si>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</si>
  <si>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</si>
  <si>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</si>
  <si>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</si>
  <si>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</si>
  <si>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</si>
  <si>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</si>
  <si>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</si>
  <si>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</si>
  <si>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</si>
  <si>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</si>
  <si>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</si>
  <si>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</si>
  <si>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</si>
  <si>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</si>
  <si>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</si>
  <si>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</si>
  <si>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</si>
  <si>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</si>
  <si>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</si>
  <si>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</si>
  <si>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</si>
  <si>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</si>
  <si>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</si>
  <si>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</si>
  <si>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</si>
  <si>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</si>
  <si>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</si>
  <si>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</si>
  <si>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</si>
  <si>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</si>
  <si>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</si>
  <si>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</si>
  <si>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</si>
  <si>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</si>
  <si>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</si>
  <si>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</si>
  <si>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</si>
  <si>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</si>
  <si>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</si>
  <si>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</si>
  <si>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</si>
  <si>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</si>
  <si>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</si>
  <si>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</si>
  <si>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</si>
  <si>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</si>
  <si>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</si>
  <si>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</si>
  <si>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</si>
  <si>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</si>
  <si>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</si>
  <si>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</si>
  <si>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</si>
  <si>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</si>
  <si>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</si>
  <si>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</si>
  <si>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</si>
  <si>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</si>
  <si>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</si>
  <si>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</si>
  <si>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</si>
  <si>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</si>
  <si>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</si>
  <si>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</si>
  <si>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</si>
  <si>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</si>
  <si>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</si>
  <si>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</si>
  <si>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</si>
  <si>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</si>
  <si>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</si>
  <si>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</si>
  <si>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</si>
  <si>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</si>
  <si>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</si>
  <si>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</si>
  <si>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</si>
  <si>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</si>
  <si>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</si>
  <si>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</si>
  <si>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</si>
  <si>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</si>
  <si>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</si>
  <si>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</si>
  <si>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</si>
  <si>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</si>
  <si>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</si>
  <si>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</si>
  <si>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</si>
  <si>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</si>
  <si>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</si>
  <si>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</si>
  <si>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</si>
  <si>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</si>
  <si>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</si>
  <si>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</si>
  <si>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</si>
  <si>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</si>
  <si>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</si>
  <si>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</si>
  <si>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</si>
  <si>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</si>
  <si>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TERUEL</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</si>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</sst>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kcOY7/G418SKYDaPBGGLzvbFZ4ie/Buc2yO45Og1WpZXq5KsW8lAIS7hJiTKbFpHcG+zyWW5/siV4C8MqjHDQ==" saltValue="Zp+juLCxgCEdcUjkac71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2</v>
      </c>
      <c r="F10" s="226">
        <f>IF(ISNUMBER(Datos!K10),Datos!K10," - ")</f>
        <v>1</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21.28393351800554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331</v>
      </c>
      <c r="D16" s="225">
        <f>IF(ISNUMBER(IF(D_I="SI",Datos!I16,Datos!I16+Datos!AC16)),IF(D_I="SI",Datos!I16,Datos!I16+Datos!AC16)," - ")</f>
        <v>318</v>
      </c>
      <c r="E16" s="226">
        <f>IF(ISNUMBER(IF(D_I="SI",Datos!J16,Datos!J16+Datos!AD16)),IF(D_I="SI",Datos!J16,Datos!J16+Datos!AD16)," - ")</f>
        <v>764</v>
      </c>
      <c r="F16" s="226">
        <f>IF(ISNUMBER(IF(D_I="SI",Datos!K16,Datos!K16+Datos!AE16)),IF(D_I="SI",Datos!K16,Datos!K16+Datos!AE16)," - ")</f>
        <v>738</v>
      </c>
      <c r="G16" s="1034" t="str">
        <f>IF(Datos!E16&lt;&gt;"",Datos!E16,Datos!D16)</f>
        <v>04</v>
      </c>
      <c r="H16" s="227">
        <f>IF(ISNUMBER(IF(D_I="SI",Datos!L16,Datos!L16+Datos!AF16)),IF(D_I="SI",Datos!L16,Datos!L16+Datos!AF16)," - ")</f>
        <v>357</v>
      </c>
      <c r="I16" s="1044" t="str">
        <f>IF(ISNUMBER(Datos!AS16/Datos!BM16),Datos!AS16/Datos!BM16," - ")</f>
        <v xml:space="preserve"> - </v>
      </c>
      <c r="J16" s="1045">
        <f>IF(ISNUMBER(Datos!BY16/Datos!CN16),Datos!BY16/Datos!CN16," - ")</f>
        <v>0</v>
      </c>
      <c r="K16" s="230">
        <f t="shared" si="3"/>
        <v>7.8549848942598186E-2</v>
      </c>
      <c r="L16" s="1025">
        <f>IF(ISNUMBER(NºAsuntos!I16/NºAsuntos!G16),(NºAsuntos!I16/NºAsuntos!G16)*11," - ")</f>
        <v>5.321138211382114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33</v>
      </c>
      <c r="F17" s="226">
        <f>IF(ISNUMBER(IF(D_I="SI",Datos!K17,Datos!K17+Datos!AE17)),IF(D_I="SI",Datos!K17,Datos!K17+Datos!AE17)," - ")</f>
        <v>35</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1.2571428571428571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337</v>
      </c>
      <c r="D18" s="1049">
        <f>SUBTOTAL(9,D15:D17)</f>
        <v>324</v>
      </c>
      <c r="E18" s="1050">
        <f>SUBTOTAL(9,E15:E17)</f>
        <v>797</v>
      </c>
      <c r="F18" s="1050">
        <f>SUBTOTAL(9,F15:F17)</f>
        <v>773</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342</v>
      </c>
      <c r="D19" s="1071">
        <f>SUBTOTAL(9,D9:D18)</f>
        <v>329</v>
      </c>
      <c r="E19" s="1072">
        <f>SUBTOTAL(9,E9:E18)</f>
        <v>799</v>
      </c>
      <c r="F19" s="1072">
        <f>SUBTOTAL(9,F9:F18)</f>
        <v>774</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BWMbr03p2Od39jtLDxEPm/oQ41jXP9zE4OtYBCMK1kL/3yXe+NyBgww9h+0OTpEvbVJbgV1IY5vCg/QQdYJ8Tg==" saltValue="ZfF1zuwiyXwsWlbTrxnSn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pWA9h+b5aE/kufRkO0OqfFF9q5/aaCbOqUjTE0HeA+EPZWRI8WDFVi930NOGejUFMUKcn86krQIud7fO6gEGA==" saltValue="KqFKtL+eNKCprPfdgQd9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2</v>
      </c>
      <c r="K10" s="181">
        <v>1</v>
      </c>
      <c r="L10" s="181">
        <v>6</v>
      </c>
      <c r="M10" s="181">
        <v>1</v>
      </c>
      <c r="N10" s="181">
        <v>0</v>
      </c>
      <c r="O10" s="181">
        <v>0</v>
      </c>
      <c r="P10" s="181">
        <v>0</v>
      </c>
      <c r="Q10" s="181">
        <v>0</v>
      </c>
      <c r="R10" s="181">
        <v>3</v>
      </c>
      <c r="S10" s="181">
        <v>6</v>
      </c>
      <c r="T10" s="181">
        <v>1</v>
      </c>
      <c r="U10" s="181">
        <v>2</v>
      </c>
      <c r="V10" s="181">
        <v>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v>
      </c>
      <c r="AZ10" s="129">
        <f t="shared" si="0"/>
        <v>1</v>
      </c>
      <c r="BA10" s="129">
        <f t="shared" si="0"/>
        <v>2</v>
      </c>
      <c r="BB10" s="129">
        <f t="shared" si="0"/>
        <v>5</v>
      </c>
      <c r="BC10" s="125">
        <f t="shared" si="0"/>
        <v>2</v>
      </c>
      <c r="BD10" s="126">
        <f>IF(ISNUMBER(BA10/AZ10),BA10/AZ10," - ")</f>
        <v>2</v>
      </c>
      <c r="BE10" s="127">
        <f>IF(ISNUMBER(BB10/BA10),BB10/BA10, " - ")</f>
        <v>2.5</v>
      </c>
      <c r="BF10" s="127">
        <f>IF(ISNUMBER(BC10/BA10),BC10/BA10, " - ")</f>
        <v>1</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1063</v>
      </c>
      <c r="J12" s="183">
        <v>988</v>
      </c>
      <c r="K12" s="183">
        <v>678</v>
      </c>
      <c r="L12" s="183">
        <v>1373</v>
      </c>
      <c r="M12" s="183">
        <v>228</v>
      </c>
      <c r="N12" s="183">
        <v>290</v>
      </c>
      <c r="O12" s="181">
        <v>267</v>
      </c>
      <c r="P12" s="183">
        <v>133</v>
      </c>
      <c r="Q12" s="183">
        <v>99</v>
      </c>
      <c r="R12" s="183">
        <v>1342</v>
      </c>
      <c r="S12" s="183">
        <v>787</v>
      </c>
      <c r="T12" s="183">
        <v>714</v>
      </c>
      <c r="U12" s="183">
        <v>594</v>
      </c>
      <c r="V12" s="183">
        <v>907</v>
      </c>
      <c r="W12" s="183">
        <v>145</v>
      </c>
      <c r="X12" s="189">
        <v>287</v>
      </c>
      <c r="Y12" s="191">
        <v>26</v>
      </c>
      <c r="Z12" s="181">
        <v>42</v>
      </c>
      <c r="AA12" s="181">
        <v>44</v>
      </c>
      <c r="AB12" s="181">
        <v>24</v>
      </c>
      <c r="AC12" s="183">
        <v>0</v>
      </c>
      <c r="AD12" s="183">
        <v>0</v>
      </c>
      <c r="AE12" s="183">
        <v>0</v>
      </c>
      <c r="AF12" s="189">
        <v>0</v>
      </c>
      <c r="AG12" s="202">
        <v>30</v>
      </c>
      <c r="AH12" s="183">
        <v>43</v>
      </c>
      <c r="AI12" s="183">
        <v>41</v>
      </c>
      <c r="AJ12" s="203">
        <v>32</v>
      </c>
      <c r="AK12" s="182">
        <v>0</v>
      </c>
      <c r="AL12" s="183">
        <v>0</v>
      </c>
      <c r="AM12" s="183">
        <v>0</v>
      </c>
      <c r="AN12" s="189">
        <v>0</v>
      </c>
      <c r="AO12" s="259">
        <v>3</v>
      </c>
      <c r="AP12" s="155">
        <v>3</v>
      </c>
      <c r="AQ12" s="155">
        <v>3</v>
      </c>
      <c r="AR12" s="154">
        <v>3</v>
      </c>
      <c r="AS12" s="340" t="s">
        <v>801</v>
      </c>
      <c r="AT12" s="203"/>
      <c r="AU12" s="202"/>
      <c r="AV12" s="203"/>
      <c r="AW12" s="202"/>
      <c r="AX12" s="203"/>
      <c r="AY12" s="126">
        <f t="shared" si="1"/>
        <v>817</v>
      </c>
      <c r="AZ12" s="127">
        <f t="shared" si="1"/>
        <v>757</v>
      </c>
      <c r="BA12" s="127">
        <f t="shared" si="1"/>
        <v>635</v>
      </c>
      <c r="BB12" s="127">
        <f t="shared" si="1"/>
        <v>939</v>
      </c>
      <c r="BC12" s="125">
        <f>IF(ISNUMBER(X12),X12," - ")</f>
        <v>287</v>
      </c>
      <c r="BD12" s="126">
        <f t="shared" si="2"/>
        <v>0.83883751651254956</v>
      </c>
      <c r="BE12" s="127">
        <f t="shared" si="3"/>
        <v>1.478740157480315</v>
      </c>
      <c r="BF12" s="127">
        <f t="shared" si="4"/>
        <v>0.45196850393700788</v>
      </c>
      <c r="BG12" s="196">
        <f t="shared" si="5"/>
        <v>2.4787401574803152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1068</v>
      </c>
      <c r="J13" s="184">
        <f t="shared" si="6"/>
        <v>990</v>
      </c>
      <c r="K13" s="184">
        <f t="shared" si="6"/>
        <v>679</v>
      </c>
      <c r="L13" s="184">
        <f t="shared" si="6"/>
        <v>1379</v>
      </c>
      <c r="M13" s="184">
        <f t="shared" si="6"/>
        <v>229</v>
      </c>
      <c r="N13" s="184">
        <f t="shared" si="6"/>
        <v>290</v>
      </c>
      <c r="O13" s="184">
        <f t="shared" si="6"/>
        <v>267</v>
      </c>
      <c r="P13" s="184">
        <f t="shared" si="6"/>
        <v>133</v>
      </c>
      <c r="Q13" s="184">
        <f t="shared" si="6"/>
        <v>99</v>
      </c>
      <c r="R13" s="184">
        <f t="shared" si="6"/>
        <v>1345</v>
      </c>
      <c r="S13" s="184">
        <f t="shared" si="6"/>
        <v>793</v>
      </c>
      <c r="T13" s="184">
        <f t="shared" si="6"/>
        <v>715</v>
      </c>
      <c r="U13" s="184">
        <f t="shared" si="6"/>
        <v>596</v>
      </c>
      <c r="V13" s="184">
        <f t="shared" si="6"/>
        <v>912</v>
      </c>
      <c r="W13" s="184">
        <f t="shared" si="6"/>
        <v>147</v>
      </c>
      <c r="X13" s="184">
        <f t="shared" si="6"/>
        <v>287</v>
      </c>
      <c r="Y13" s="184">
        <f t="shared" si="6"/>
        <v>26</v>
      </c>
      <c r="Z13" s="184">
        <f t="shared" si="6"/>
        <v>42</v>
      </c>
      <c r="AA13" s="184">
        <f t="shared" si="6"/>
        <v>44</v>
      </c>
      <c r="AB13" s="184">
        <f t="shared" si="6"/>
        <v>24</v>
      </c>
      <c r="AC13" s="184">
        <f t="shared" si="6"/>
        <v>0</v>
      </c>
      <c r="AD13" s="184">
        <f t="shared" si="6"/>
        <v>0</v>
      </c>
      <c r="AE13" s="184">
        <f t="shared" si="6"/>
        <v>0</v>
      </c>
      <c r="AF13" s="184">
        <f>SUBTOTAL(9,AF9:AF12)</f>
        <v>0</v>
      </c>
      <c r="AG13" s="184">
        <f t="shared" ref="AG13:AT13" si="7">SUBTOTAL(9,AG8:AG12)</f>
        <v>30</v>
      </c>
      <c r="AH13" s="184">
        <f t="shared" si="7"/>
        <v>43</v>
      </c>
      <c r="AI13" s="184">
        <f t="shared" si="7"/>
        <v>41</v>
      </c>
      <c r="AJ13" s="184">
        <f t="shared" si="7"/>
        <v>32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823</v>
      </c>
      <c r="AZ13" s="184">
        <f>SUBTOTAL(9,AZ8:AZ12)</f>
        <v>758</v>
      </c>
      <c r="BA13" s="184">
        <f>SUBTOTAL(9,BA8:BA12)</f>
        <v>637</v>
      </c>
      <c r="BB13" s="184">
        <f>SUBTOTAL(9,BB8:BB12)</f>
        <v>944</v>
      </c>
      <c r="BC13" s="184">
        <f>SUBTOTAL(9,BC8:BC12)</f>
        <v>289</v>
      </c>
      <c r="BD13" s="205">
        <f>IF(ISNUMBER(BA13/AZ13),BA13/AZ13," - ")</f>
        <v>0.84036939313984171</v>
      </c>
      <c r="BE13" s="206">
        <f>IF(ISNUMBER(BB13/BA13),BB13/BA13, " - ")</f>
        <v>1.4819466248037676</v>
      </c>
      <c r="BF13" s="206">
        <f>IF(ISNUMBER(BC13/BA13),BC13/BA13, " - ")</f>
        <v>0.45368916797488223</v>
      </c>
      <c r="BG13" s="207">
        <f>IF(ISNUMBER((AY13+AZ13)/BA13),(AY13+AZ13)/BA13," - ")</f>
        <v>2.4819466248037676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318</v>
      </c>
      <c r="J16" s="183">
        <v>764</v>
      </c>
      <c r="K16" s="183">
        <v>738</v>
      </c>
      <c r="L16" s="183">
        <v>357</v>
      </c>
      <c r="M16" s="183">
        <v>67</v>
      </c>
      <c r="N16" s="183">
        <v>544</v>
      </c>
      <c r="O16" s="181">
        <v>15</v>
      </c>
      <c r="P16" s="183">
        <v>12</v>
      </c>
      <c r="Q16" s="183">
        <v>26</v>
      </c>
      <c r="R16" s="183">
        <v>81</v>
      </c>
      <c r="S16" s="183">
        <v>314</v>
      </c>
      <c r="T16" s="183">
        <v>699</v>
      </c>
      <c r="U16" s="183">
        <v>698</v>
      </c>
      <c r="V16" s="183">
        <v>321</v>
      </c>
      <c r="W16" s="183">
        <v>58</v>
      </c>
      <c r="X16" s="189">
        <v>533</v>
      </c>
      <c r="Y16" s="202">
        <v>0</v>
      </c>
      <c r="Z16" s="183">
        <v>0</v>
      </c>
      <c r="AA16" s="183">
        <v>0</v>
      </c>
      <c r="AB16" s="183">
        <v>0</v>
      </c>
      <c r="AC16" s="183">
        <v>0</v>
      </c>
      <c r="AD16" s="183">
        <v>6</v>
      </c>
      <c r="AE16" s="183">
        <v>6</v>
      </c>
      <c r="AF16" s="189">
        <v>0</v>
      </c>
      <c r="AG16" s="202">
        <v>0</v>
      </c>
      <c r="AH16" s="183">
        <v>0</v>
      </c>
      <c r="AI16" s="183">
        <v>0</v>
      </c>
      <c r="AJ16" s="203">
        <v>0</v>
      </c>
      <c r="AK16" s="182">
        <v>1</v>
      </c>
      <c r="AL16" s="183">
        <v>7</v>
      </c>
      <c r="AM16" s="183">
        <v>7</v>
      </c>
      <c r="AN16" s="189">
        <v>1</v>
      </c>
      <c r="AO16" s="259">
        <v>3</v>
      </c>
      <c r="AP16" s="155">
        <v>3</v>
      </c>
      <c r="AQ16" s="155">
        <v>3</v>
      </c>
      <c r="AR16" s="155">
        <v>3</v>
      </c>
      <c r="AS16" s="340" t="s">
        <v>487</v>
      </c>
      <c r="AT16" s="203"/>
      <c r="AU16" s="202"/>
      <c r="AV16" s="203"/>
      <c r="AW16" s="202"/>
      <c r="AX16" s="203"/>
      <c r="AY16" s="126">
        <f t="shared" si="9"/>
        <v>314</v>
      </c>
      <c r="AZ16" s="127">
        <f t="shared" si="9"/>
        <v>699</v>
      </c>
      <c r="BA16" s="127">
        <f t="shared" si="9"/>
        <v>698</v>
      </c>
      <c r="BB16" s="127">
        <f t="shared" si="9"/>
        <v>321</v>
      </c>
      <c r="BC16" s="125">
        <f>IF(ISNUMBER(W16),W16," - ")</f>
        <v>58</v>
      </c>
      <c r="BD16" s="126">
        <f t="shared" ref="BD16" si="11">IF(ISNUMBER(BA16/AZ16),BA16/AZ16," - ")</f>
        <v>0.9985693848354793</v>
      </c>
      <c r="BE16" s="127">
        <f t="shared" ref="BE16" si="12">IF(ISNUMBER(BB16/BA16),BB16/BA16, " - ")</f>
        <v>0.45988538681948427</v>
      </c>
      <c r="BF16" s="127">
        <f t="shared" ref="BF16" si="13">IF(ISNUMBER(BC16/BA16),BC16/BA16, " - ")</f>
        <v>8.3094555873925502E-2</v>
      </c>
      <c r="BG16" s="196">
        <f t="shared" si="10"/>
        <v>1.4512893982808024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33</v>
      </c>
      <c r="K17" s="183">
        <v>35</v>
      </c>
      <c r="L17" s="183">
        <v>4</v>
      </c>
      <c r="M17" s="183">
        <v>12</v>
      </c>
      <c r="N17" s="183">
        <v>18</v>
      </c>
      <c r="O17" s="183">
        <v>0</v>
      </c>
      <c r="P17" s="183">
        <v>0</v>
      </c>
      <c r="Q17" s="183">
        <v>0</v>
      </c>
      <c r="R17" s="183">
        <v>5</v>
      </c>
      <c r="S17" s="183">
        <v>6</v>
      </c>
      <c r="T17" s="183">
        <v>26</v>
      </c>
      <c r="U17" s="183">
        <v>26</v>
      </c>
      <c r="V17" s="183">
        <v>6</v>
      </c>
      <c r="W17" s="183">
        <v>7</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v>
      </c>
      <c r="AZ17" s="129">
        <f t="shared" si="14"/>
        <v>26</v>
      </c>
      <c r="BA17" s="129">
        <f t="shared" si="14"/>
        <v>26</v>
      </c>
      <c r="BB17" s="129">
        <f t="shared" si="14"/>
        <v>6</v>
      </c>
      <c r="BC17" s="125">
        <f>IF(ISNUMBER(W17),W17," - ")</f>
        <v>7</v>
      </c>
      <c r="BD17" s="126">
        <f>IF(ISNUMBER(BA17/AZ17),BA17/AZ17," - ")</f>
        <v>1</v>
      </c>
      <c r="BE17" s="127">
        <f>IF(ISNUMBER(BB17/BA17),BB17/BA17, " - ")</f>
        <v>0.23076923076923078</v>
      </c>
      <c r="BF17" s="127">
        <f>IF(ISNUMBER(BC17/BA17),BC17/BA17, " - ")</f>
        <v>0.26923076923076922</v>
      </c>
      <c r="BG17" s="196">
        <f>IF(ISNUMBER((AY17+AZ17)/BA17),(AY17+AZ17)/BA17," - ")</f>
        <v>1.2307692307692308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324</v>
      </c>
      <c r="J18" s="184">
        <f t="shared" si="15"/>
        <v>797</v>
      </c>
      <c r="K18" s="184">
        <f t="shared" si="15"/>
        <v>773</v>
      </c>
      <c r="L18" s="184">
        <f t="shared" si="15"/>
        <v>361</v>
      </c>
      <c r="M18" s="184">
        <f t="shared" si="15"/>
        <v>79</v>
      </c>
      <c r="N18" s="184">
        <f t="shared" si="15"/>
        <v>562</v>
      </c>
      <c r="O18" s="184">
        <f t="shared" si="15"/>
        <v>15</v>
      </c>
      <c r="P18" s="184">
        <f t="shared" si="15"/>
        <v>12</v>
      </c>
      <c r="Q18" s="184">
        <f t="shared" si="15"/>
        <v>26</v>
      </c>
      <c r="R18" s="184">
        <f t="shared" si="15"/>
        <v>86</v>
      </c>
      <c r="S18" s="184">
        <f t="shared" si="15"/>
        <v>320</v>
      </c>
      <c r="T18" s="184">
        <f t="shared" si="15"/>
        <v>725</v>
      </c>
      <c r="U18" s="184">
        <f t="shared" si="15"/>
        <v>724</v>
      </c>
      <c r="V18" s="184">
        <f t="shared" si="15"/>
        <v>327</v>
      </c>
      <c r="W18" s="184">
        <f t="shared" si="15"/>
        <v>65</v>
      </c>
      <c r="X18" s="184">
        <f t="shared" si="15"/>
        <v>553</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1</v>
      </c>
      <c r="AL18" s="184">
        <f t="shared" si="15"/>
        <v>7</v>
      </c>
      <c r="AM18" s="184">
        <f t="shared" si="15"/>
        <v>7</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320</v>
      </c>
      <c r="AZ18" s="184">
        <f>SUBTOTAL(9,AZ14:AZ17)</f>
        <v>725</v>
      </c>
      <c r="BA18" s="184">
        <f>SUBTOTAL(9,BA14:BA17)</f>
        <v>724</v>
      </c>
      <c r="BB18" s="184">
        <f>SUBTOTAL(9,BB14:BB17)</f>
        <v>327</v>
      </c>
      <c r="BC18" s="184">
        <f>SUBTOTAL(9,BC14:BC17)</f>
        <v>65</v>
      </c>
      <c r="BD18" s="205">
        <f>IF(ISNUMBER(BA18/AZ18),BA18/AZ18," - ")</f>
        <v>0.99862068965517237</v>
      </c>
      <c r="BE18" s="206">
        <f>IF(ISNUMBER(BB18/BA18),BB18/BA18, " - ")</f>
        <v>0.4516574585635359</v>
      </c>
      <c r="BF18" s="206">
        <f>IF(ISNUMBER(BC18/BA18),BC18/BA18, " - ")</f>
        <v>8.9779005524861885E-2</v>
      </c>
      <c r="BG18" s="207">
        <f>IF(ISNUMBER((AY18+AZ18)/BA18),(AY18+AZ18)/BA18," - ")</f>
        <v>1.4433701657458564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1392</v>
      </c>
      <c r="J19" s="134">
        <f t="shared" si="18"/>
        <v>1787</v>
      </c>
      <c r="K19" s="134">
        <f t="shared" si="18"/>
        <v>1452</v>
      </c>
      <c r="L19" s="134">
        <f t="shared" si="18"/>
        <v>1740</v>
      </c>
      <c r="M19" s="134">
        <f t="shared" si="18"/>
        <v>308</v>
      </c>
      <c r="N19" s="134">
        <f t="shared" si="18"/>
        <v>852</v>
      </c>
      <c r="O19" s="134">
        <f t="shared" si="18"/>
        <v>282</v>
      </c>
      <c r="P19" s="134">
        <f t="shared" si="18"/>
        <v>145</v>
      </c>
      <c r="Q19" s="134">
        <f t="shared" si="18"/>
        <v>125</v>
      </c>
      <c r="R19" s="134">
        <f t="shared" si="18"/>
        <v>1431</v>
      </c>
      <c r="S19" s="134">
        <f t="shared" si="18"/>
        <v>1113</v>
      </c>
      <c r="T19" s="134">
        <f t="shared" si="18"/>
        <v>1440</v>
      </c>
      <c r="U19" s="134">
        <f t="shared" si="18"/>
        <v>1320</v>
      </c>
      <c r="V19" s="134">
        <f t="shared" si="18"/>
        <v>1239</v>
      </c>
      <c r="W19" s="134">
        <f t="shared" si="18"/>
        <v>212</v>
      </c>
      <c r="X19" s="134">
        <f t="shared" si="18"/>
        <v>840</v>
      </c>
      <c r="Y19" s="134">
        <f t="shared" si="18"/>
        <v>26</v>
      </c>
      <c r="Z19" s="134">
        <f t="shared" si="18"/>
        <v>42</v>
      </c>
      <c r="AA19" s="134">
        <f t="shared" si="18"/>
        <v>44</v>
      </c>
      <c r="AB19" s="134">
        <f t="shared" si="18"/>
        <v>24</v>
      </c>
      <c r="AC19" s="134">
        <f t="shared" si="18"/>
        <v>0</v>
      </c>
      <c r="AD19" s="134">
        <f t="shared" si="18"/>
        <v>6</v>
      </c>
      <c r="AE19" s="134">
        <f t="shared" si="18"/>
        <v>6</v>
      </c>
      <c r="AF19" s="134">
        <f t="shared" si="18"/>
        <v>0</v>
      </c>
      <c r="AG19" s="134">
        <f t="shared" si="18"/>
        <v>30</v>
      </c>
      <c r="AH19" s="134">
        <f t="shared" si="18"/>
        <v>43</v>
      </c>
      <c r="AI19" s="134">
        <f t="shared" si="18"/>
        <v>41</v>
      </c>
      <c r="AJ19" s="134">
        <f t="shared" si="18"/>
        <v>32</v>
      </c>
      <c r="AK19" s="134">
        <f t="shared" si="18"/>
        <v>1</v>
      </c>
      <c r="AL19" s="134">
        <f t="shared" si="18"/>
        <v>7</v>
      </c>
      <c r="AM19" s="134">
        <f t="shared" si="18"/>
        <v>7</v>
      </c>
      <c r="AN19" s="210">
        <f t="shared" si="18"/>
        <v>1</v>
      </c>
      <c r="AO19" s="211">
        <v>4</v>
      </c>
      <c r="AP19" s="211">
        <v>3</v>
      </c>
      <c r="AQ19" s="211">
        <v>3</v>
      </c>
      <c r="AR19" s="211">
        <v>3</v>
      </c>
      <c r="AS19" s="153">
        <f t="shared" si="18"/>
        <v>0</v>
      </c>
      <c r="AT19" s="153">
        <f t="shared" si="18"/>
        <v>0</v>
      </c>
      <c r="AU19" s="211"/>
      <c r="AV19" s="212"/>
      <c r="AW19" s="211"/>
      <c r="AX19" s="212"/>
      <c r="AY19" s="133">
        <f>SUBTOTAL(9,AY9:AY18)</f>
        <v>1143</v>
      </c>
      <c r="AZ19" s="134">
        <f>SUBTOTAL(9,AZ9:AZ18)</f>
        <v>1483</v>
      </c>
      <c r="BA19" s="134">
        <f>SUBTOTAL(9,BA9:BA18)</f>
        <v>1361</v>
      </c>
      <c r="BB19" s="134">
        <f>SUBTOTAL(9,BB9:BB18)</f>
        <v>1271</v>
      </c>
      <c r="BC19" s="135">
        <f>SUBTOTAL(9,BC9:BC18)</f>
        <v>354</v>
      </c>
      <c r="BD19" s="213">
        <f>IF(ISNUMBER(BA19/AZ19),BA19/AZ19," - ")</f>
        <v>0.91773432231962238</v>
      </c>
      <c r="BE19" s="210">
        <f>IF(ISNUMBER(BB19/BA19),BB19/BA19, " - ")</f>
        <v>0.93387215282880232</v>
      </c>
      <c r="BF19" s="210">
        <f>IF(ISNUMBER(BC19/BA19),BC19/BA19, " - ")</f>
        <v>0.26010286554004408</v>
      </c>
      <c r="BG19" s="135">
        <f>IF(ISNUMBER((AY19+AZ19)/BA19),(AY19+AZ19)/BA19," - ")</f>
        <v>1.9294636296840559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Ev/09SnPnvVxAI1yghdsYnNZsunH6WRds/wY/2BCzEHS5H3FiXN9lzFIEpvuL22VAkj1fA1m3yUnMQ642HVxQ==" saltValue="C0NF0SR26UUTDKsPkuBcc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CpZ4/398pMoT66PzwJbYAHL3h8ryVlXXFF2JJeiLAb6De+Xk/HsAn3PF5gxMaNl0KOfuPvPVuvnqFVpVVqvNQ==" saltValue="0GgqN464pNyrN33EyfbIE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6</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133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1342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228</v>
      </c>
      <c r="BD12" s="229">
        <f>IF(ISNUMBER(Datos!N12),Datos!N12," - ")</f>
        <v>290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0.70097087378640777</v>
      </c>
      <c r="BH12" s="260">
        <f>IF(ISNUMBER(((IF(J_V="SI",Datos!L12/Datos!K12,(Datos!L12+Datos!AB12)/(Datos!K12+Datos!AA12)))*11)/factor_trimestre),((IF(J_V="SI",Datos!L12/Datos!K12,(Datos!L12+Datos!AB12)/(Datos!K12+Datos!AA12)))*11)/factor_trimestre," - ")</f>
        <v>5.8047091412742384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2.5993883792048929E-2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133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99</v>
      </c>
      <c r="AD13" s="899">
        <f t="shared" si="1"/>
        <v>0</v>
      </c>
      <c r="AE13" s="899">
        <f t="shared" si="1"/>
        <v>0</v>
      </c>
      <c r="AF13" s="899">
        <f t="shared" si="1"/>
        <v>6</v>
      </c>
      <c r="AG13" s="899">
        <f t="shared" si="1"/>
        <v>0</v>
      </c>
      <c r="AH13" s="899">
        <f t="shared" si="1"/>
        <v>24</v>
      </c>
      <c r="AI13" s="899">
        <f t="shared" si="1"/>
        <v>0</v>
      </c>
      <c r="AJ13" s="899">
        <f t="shared" si="1"/>
        <v>0</v>
      </c>
      <c r="AK13" s="899">
        <f t="shared" si="1"/>
        <v>0</v>
      </c>
      <c r="AL13" s="899">
        <f t="shared" si="1"/>
        <v>0</v>
      </c>
      <c r="AM13" s="899">
        <f t="shared" si="1"/>
        <v>1345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229</v>
      </c>
      <c r="BD13" s="899">
        <f t="shared" si="1"/>
        <v>290</v>
      </c>
      <c r="BE13" s="899">
        <f t="shared" si="1"/>
        <v>0</v>
      </c>
      <c r="BF13" s="899">
        <f t="shared" si="1"/>
        <v>0</v>
      </c>
      <c r="BG13" s="899">
        <f>IF(ISNUMBER(Datos!K13/Datos!J13),Datos!K13/Datos!J13," - ")</f>
        <v>0.68585858585858583</v>
      </c>
      <c r="BH13" s="903">
        <f>IF(ISNUMBER(((Datos!L13/Datos!K13)*11)/factor_trimestre),((Datos!L13/Datos!K13)*11)/factor_trimestre," - ")</f>
        <v>6.0927835051546388</v>
      </c>
      <c r="BI13" s="899">
        <f>IF(ISNUMBER('Resol  Asuntos'!D13/NºAsuntos!G13),'Resol  Asuntos'!D13/NºAsuntos!G13," - ")</f>
        <v>0.31673582295988933</v>
      </c>
      <c r="BJ13" s="899" t="str">
        <f>IF(ISNUMBER(Datos!CI13/Datos!CJ13),Datos!CI13/Datos!CJ13," - ")</f>
        <v xml:space="preserve"> - </v>
      </c>
      <c r="BK13" s="899">
        <f>SUBTOTAL(9,BK8:BK12)</f>
        <v>0</v>
      </c>
      <c r="BL13" s="899">
        <f>IF(ISNUMBER((I13-AB13+L13)/(F13)),(I13-AB13+L13)/(F13)," - ")</f>
        <v>-0.2</v>
      </c>
      <c r="BM13" s="904">
        <f>SUBTOTAL(9,BM9:BM12)</f>
        <v>2.5993883792048929E-2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331</v>
      </c>
      <c r="G16" s="598">
        <f>IF(ISNUMBER(IF(D_I="SI",Datos!I16,Datos!I16+Datos!AC16)),IF(D_I="SI",Datos!I16,Datos!I16+Datos!AC16)," - ")</f>
        <v>318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738</v>
      </c>
      <c r="AC16" s="226">
        <f>IF(ISNUMBER(Datos!Q16),Datos!Q16," - ")</f>
        <v>26</v>
      </c>
      <c r="AD16" s="334"/>
      <c r="AE16" s="484"/>
      <c r="AF16" s="596">
        <f>IF(ISNUMBER(IF(D_I="SI",Datos!L16,Datos!L16+Datos!AF16)),IF(D_I="SI",Datos!L16,Datos!L16+Datos!AF16)," - ")</f>
        <v>357</v>
      </c>
      <c r="AG16" s="334"/>
      <c r="AH16" s="334"/>
      <c r="AI16" s="334"/>
      <c r="AJ16" s="334"/>
      <c r="AK16" s="334"/>
      <c r="AL16" s="479"/>
      <c r="AM16" s="335">
        <f>IF(ISNUMBER(Datos!R16),Datos!R16," - ")</f>
        <v>81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544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0.96596858638743455</v>
      </c>
      <c r="BH16" s="260">
        <f>IF(ISNUMBER(((IF(D_I="SI",Datos!L16/Datos!K16,(Datos!L16+Datos!AF16)/(Datos!K16+Datos!AE16)))*11)/factor_trimestre),((IF(D_I="SI",Datos!L16/Datos!K16,(Datos!L16+Datos!AF16)/(Datos!K16+Datos!AE16)))*11)/factor_trimestre," - ")</f>
        <v>1.4512195121951221</v>
      </c>
      <c r="BI16" s="243">
        <f>IF(ISNUMBER('Resol  Asuntos'!D16/NºAsuntos!G16),'Resol  Asuntos'!D16/NºAsuntos!G16," - ")</f>
        <v>9.0785907859078585E-2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v>
      </c>
      <c r="AC17" s="226">
        <f>IF(ISNUMBER(Datos!Q17),Datos!Q17," - ")</f>
        <v>0</v>
      </c>
      <c r="AD17" s="334"/>
      <c r="AE17" s="484"/>
      <c r="AF17" s="332">
        <f>IF(ISNUMBER(Datos!L17),Datos!L17,"-")</f>
        <v>4</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1.0606060606060606</v>
      </c>
      <c r="BH17" s="260">
        <f>IF(ISNUMBER(((IF(D_I="SI",Datos!L17/Datos!K17,(Datos!L17+Datos!AF17)/(Datos!K17+Datos!AE17)))*11)/factor_trimestre),((IF(D_I="SI",Datos!L17/Datos!K17,(Datos!L17+Datos!AF17)/(Datos!K17+Datos!AE17)))*11)/factor_trimestre," - ")</f>
        <v>0.34285714285714286</v>
      </c>
      <c r="BI17" s="243">
        <f>IF(ISNUMBER('Resol  Asuntos'!D17/NºAsuntos!G17),'Resol  Asuntos'!D17/NºAsuntos!G17," - ")</f>
        <v>0.34285714285714286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331</v>
      </c>
      <c r="G18" s="898">
        <f>SUBTOTAL(9,G15:G17)</f>
        <v>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773</v>
      </c>
      <c r="AC18" s="899">
        <f t="shared" si="4"/>
        <v>26</v>
      </c>
      <c r="AD18" s="899">
        <f t="shared" si="4"/>
        <v>0</v>
      </c>
      <c r="AE18" s="899">
        <f t="shared" si="4"/>
        <v>0</v>
      </c>
      <c r="AF18" s="899">
        <f t="shared" si="4"/>
        <v>361</v>
      </c>
      <c r="AG18" s="899">
        <f t="shared" si="4"/>
        <v>0</v>
      </c>
      <c r="AH18" s="899">
        <f t="shared" si="4"/>
        <v>0</v>
      </c>
      <c r="AI18" s="899">
        <f t="shared" si="4"/>
        <v>0</v>
      </c>
      <c r="AJ18" s="899">
        <f t="shared" si="4"/>
        <v>0</v>
      </c>
      <c r="AK18" s="899">
        <f t="shared" si="4"/>
        <v>0</v>
      </c>
      <c r="AL18" s="899">
        <f t="shared" si="4"/>
        <v>0</v>
      </c>
      <c r="AM18" s="899">
        <f t="shared" si="4"/>
        <v>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v>
      </c>
      <c r="BD18" s="899">
        <f t="shared" si="4"/>
        <v>562</v>
      </c>
      <c r="BE18" s="899">
        <f t="shared" si="4"/>
        <v>0</v>
      </c>
      <c r="BF18" s="899">
        <f t="shared" si="4"/>
        <v>0</v>
      </c>
      <c r="BG18" s="899">
        <f>IF(ISNUMBER(Datos!K18/Datos!J18),Datos!K18/Datos!J18," - ")</f>
        <v>0.96988707653701378</v>
      </c>
      <c r="BH18" s="903">
        <f>IF(ISNUMBER(((Datos!L18/Datos!K18)*11)/factor_trimestre),((Datos!L18/Datos!K18)*11)/factor_trimestre," - ")</f>
        <v>1.4010349288486417</v>
      </c>
      <c r="BI18" s="899">
        <f>SUBTOTAL(9,BI15:BI17)</f>
        <v>0.43364305071622145</v>
      </c>
      <c r="BJ18" s="899">
        <f>SUBTOTAL(9,BJ15:BJ17)</f>
        <v>0</v>
      </c>
      <c r="BK18" s="899">
        <f>SUBTOTAL(9,BK15:BK17)</f>
        <v>0</v>
      </c>
      <c r="BL18" s="899">
        <f>IF(ISNUMBER((I18-AB18+L18)/(F18)),(I18-AB18+L18)/(F18)," - ")</f>
        <v>-2.3353474320241694</v>
      </c>
      <c r="BM18" s="905">
        <f>IF(ISNUMBER((Datos!P18-Datos!Q18)/(Datos!R18-Datos!P18+Datos!Q18)),(Datos!P18-Datos!Q18)/(Datos!R18-Datos!P18+Datos!Q18)," - ")</f>
        <v>-0.14000000000000001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336</v>
      </c>
      <c r="G19" s="820">
        <f t="shared" si="6"/>
        <v>329</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774</v>
      </c>
      <c r="AC19" s="821">
        <f t="shared" si="7"/>
        <v>125</v>
      </c>
      <c r="AD19" s="821">
        <f t="shared" si="7"/>
        <v>0</v>
      </c>
      <c r="AE19" s="821">
        <f t="shared" si="7"/>
        <v>0</v>
      </c>
      <c r="AF19" s="828">
        <f t="shared" si="7"/>
        <v>367</v>
      </c>
      <c r="AG19" s="828">
        <f t="shared" si="7"/>
        <v>0</v>
      </c>
      <c r="AH19" s="828">
        <f t="shared" si="7"/>
        <v>24</v>
      </c>
      <c r="AI19" s="828">
        <f t="shared" si="7"/>
        <v>0</v>
      </c>
      <c r="AJ19" s="821">
        <f t="shared" si="7"/>
        <v>0</v>
      </c>
      <c r="AK19" s="828">
        <f t="shared" si="7"/>
        <v>0</v>
      </c>
      <c r="AL19" s="828">
        <f t="shared" si="7"/>
        <v>0</v>
      </c>
      <c r="AM19" s="828">
        <f t="shared" si="7"/>
        <v>1431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308</v>
      </c>
      <c r="BD19" s="820">
        <f t="shared" si="7"/>
        <v>852</v>
      </c>
      <c r="BE19" s="820">
        <f t="shared" si="7"/>
        <v>0</v>
      </c>
      <c r="BF19" s="830">
        <f t="shared" si="7"/>
        <v>0</v>
      </c>
      <c r="BG19" s="915">
        <f>IF(ISNUMBER(Datos!K19/Datos!J19),Datos!K19/Datos!J19," - ")</f>
        <v>0.81253497481813097</v>
      </c>
      <c r="BH19" s="915">
        <f>IF(ISNUMBER(((Datos!L19/Datos!K19)*11)/factor_trimestre),((Datos!L19/Datos!K19)*11)/factor_trimestre," - ")</f>
        <v>3.5950413223140498</v>
      </c>
      <c r="BI19" s="813">
        <f>IF(ISNUMBER(Datos!J19/Datos!I19),Datos!J19/Datos!I19," - ")</f>
        <v>1.2837643678160919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-2.3035714285714284</v>
      </c>
      <c r="BM19" s="889">
        <f>IF(ISNUMBER((Datos!P19-Datos!Q19+R19)/(Datos!R19-Datos!P19+Datos!Q19-R19)),(Datos!P19-Datos!Q19+R19)/(Datos!R19-Datos!P19+Datos!Q19-R19)," - ")</f>
        <v>1.4174344436569808E-2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188.216187755818</v>
      </c>
      <c r="G21" s="552">
        <f>IF(ISNUMBER(STDEV(G8:G18)),STDEV(G8:G18),"-")</f>
        <v>172.91124891111048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407.47368013161292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102.0365947426053</v>
      </c>
      <c r="BD21" s="551"/>
      <c r="BE21" s="551">
        <f>IF(ISNUMBER(STDEV(BE8:BE18)),STDEV(BE8:BE18),"-")</f>
        <v>0</v>
      </c>
      <c r="BF21" s="556">
        <f>IF(ISNUMBER(STDEV(BF8:BF18)),STDEV(BF8:BF18),"-")</f>
        <v>0</v>
      </c>
      <c r="BG21" s="775">
        <f>IF(ISNUMBER(STDEV(BG8:BG18)),STDEV(BG8:BG18),"-")</f>
        <v>0.21725630147886557</v>
      </c>
      <c r="BH21" s="776">
        <f>IF(ISNUMBER(STDEV(BH8:BH18)),STDEV(BH8:BH18),"-")</f>
        <v>6.5800162800625595</v>
      </c>
      <c r="BI21" s="249">
        <f>IF(ISNUMBER(STDEV(BI8:BI18)),STDEV(BI8:BI18),"-")</f>
        <v>0.145698317416594</v>
      </c>
      <c r="BJ21" s="230" t="str">
        <f>IF(ISNUMBER(BL21/BM21),BL21/BM21," - ")</f>
        <v xml:space="preserve"> - </v>
      </c>
      <c r="BK21" s="575"/>
      <c r="BL21" s="559">
        <f>IF(ISNUMBER(STDEV(BL8:BL18)),STDEV(BL8:BL18),"-")</f>
        <v>1.5099186493735703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GPrNQdNH/YGtofN+fUwN6RUKypxtZK8602UJDOKJ24aPEJStnB+r0HYH3eJLT9L1bj7XJTCAZO0YO95YW74Pg==" saltValue="izwx7TfOTOxTLUACEUtnK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TERUEL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6</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99</v>
      </c>
      <c r="AA12" s="332" t="str">
        <f>IF(ISNUMBER(IF(J_V="SI",Datos!L12,Datos!L12+Datos!AB12)-IF(Monitorios="SI",Datos!CD12,0)),
                          IF(J_V="SI",Datos!L12,Datos!L12+Datos!AB12)-IF(Monitorios="SI",Datos!CD12,0),
                          " - ")</f>
        <v xml:space="preserve"> - </v>
      </c>
      <c r="AB12" s="334"/>
      <c r="AC12" s="334"/>
      <c r="AD12" s="484"/>
      <c r="AE12" s="484">
        <f>IF(ISNUMBER(Datos!R12),Datos!R12," - ")</f>
        <v>1342</v>
      </c>
      <c r="AF12" s="229" t="str">
        <f>IF(ISNUMBER(Datos!BV12),Datos!BV12," - ")</f>
        <v xml:space="preserve"> - </v>
      </c>
      <c r="AG12" s="225" t="str">
        <f>IF(ISNUMBER(Datos!DV12),Datos!DV12," - ")</f>
        <v xml:space="preserve"> - </v>
      </c>
      <c r="AH12" s="298"/>
      <c r="AI12" s="227"/>
      <c r="AJ12" s="225">
        <f>IF(ISNUMBER(Datos!M12),Datos!M12," - ")</f>
        <v>228</v>
      </c>
      <c r="AK12" s="229">
        <f>IF(ISNUMBER(Datos!N12),Datos!N12," - ")</f>
        <v>290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5.8047091412742384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2.5993883792048929E-2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99</v>
      </c>
      <c r="AA13" s="900">
        <f t="shared" si="2"/>
        <v>6</v>
      </c>
      <c r="AB13" s="900">
        <f t="shared" si="2"/>
        <v>0</v>
      </c>
      <c r="AC13" s="900">
        <f t="shared" si="2"/>
        <v>0</v>
      </c>
      <c r="AD13" s="900">
        <f t="shared" si="2"/>
        <v>0</v>
      </c>
      <c r="AE13" s="900">
        <f t="shared" si="2"/>
        <v>1345</v>
      </c>
      <c r="AF13" s="908">
        <f t="shared" si="2"/>
        <v>0</v>
      </c>
      <c r="AG13" s="908">
        <f t="shared" si="2"/>
        <v>0</v>
      </c>
      <c r="AH13" s="908">
        <f t="shared" si="2"/>
        <v>0</v>
      </c>
      <c r="AI13" s="908">
        <f t="shared" si="2"/>
        <v>0</v>
      </c>
      <c r="AJ13" s="908">
        <f t="shared" si="2"/>
        <v>229</v>
      </c>
      <c r="AK13" s="908">
        <f t="shared" si="2"/>
        <v>290</v>
      </c>
      <c r="AL13" s="908">
        <f t="shared" si="2"/>
        <v>0</v>
      </c>
      <c r="AM13" s="908">
        <f t="shared" si="2"/>
        <v>0</v>
      </c>
      <c r="AN13" s="908">
        <f t="shared" si="2"/>
        <v>0</v>
      </c>
      <c r="AO13" s="904">
        <f>IF(ISNUMBER(((NºAsuntos!I13/NºAsuntos!G13)*11)/factor_trimestre),((NºAsuntos!I13/NºAsuntos!G13)*11)/factor_trimestre," - ")</f>
        <v>5.8215767634854769</v>
      </c>
      <c r="AP13" s="910" t="str">
        <f>IF(ISNUMBER(Datos!CI13/Datos!CJ13),Datos!CI13/Datos!CJ13," - ")</f>
        <v xml:space="preserve"> - </v>
      </c>
      <c r="AQ13" s="928">
        <f t="shared" ref="AQ13:AV13" si="3">SUBTOTAL(9,AQ9:AQ12)</f>
        <v>0</v>
      </c>
      <c r="AR13" s="928">
        <f t="shared" si="3"/>
        <v>2.5993883792048929E-2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331</v>
      </c>
      <c r="G16" s="225">
        <f>IF(ISNUMBER(IF(D_I="SI",Datos!I16,Datos!I16+Datos!AC16)),IF(D_I="SI",Datos!I16,Datos!I16+Datos!AC16)," - ")</f>
        <v>318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738</v>
      </c>
      <c r="Z16" s="619">
        <f>IF(ISNUMBER(Datos!Q16),Datos!Q16," - ")</f>
        <v>26</v>
      </c>
      <c r="AA16" s="332">
        <f>IF(ISNUMBER(IF(D_I="SI",Datos!L16,Datos!L16+Datos!AF16)),IF(D_I="SI",Datos!L16,Datos!L16+Datos!AF16)," - ")</f>
        <v>357</v>
      </c>
      <c r="AB16" s="334"/>
      <c r="AC16" s="334"/>
      <c r="AD16" s="484"/>
      <c r="AE16" s="484">
        <f>IF(ISNUMBER(Datos!R16),Datos!R16," - ")</f>
        <v>81</v>
      </c>
      <c r="AF16" s="229" t="str">
        <f>IF(ISNUMBER(Datos!BV16),Datos!BV16," - ")</f>
        <v xml:space="preserve"> - </v>
      </c>
      <c r="AG16" s="225"/>
      <c r="AH16" s="298"/>
      <c r="AI16" s="227"/>
      <c r="AJ16" s="225">
        <f>IF(ISNUMBER(Datos!M16),Datos!M16," - ")</f>
        <v>67</v>
      </c>
      <c r="AK16" s="229">
        <f>IF(ISNUMBER(Datos!N16),Datos!N16," - ")</f>
        <v>544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1.4512195121951221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v>
      </c>
      <c r="Z17" s="619">
        <f>IF(ISNUMBER(Datos!Q17),Datos!Q17," - ")</f>
        <v>0</v>
      </c>
      <c r="AA17" s="332">
        <f>IF(ISNUMBER(Datos!L17),Datos!L17,"-")</f>
        <v>4</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12</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0.34285714285714286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331</v>
      </c>
      <c r="G18" s="898">
        <f>SUBTOTAL(9,G15:G17)</f>
        <v>324</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773</v>
      </c>
      <c r="Z18" s="932">
        <f t="shared" si="5"/>
        <v>26</v>
      </c>
      <c r="AA18" s="932">
        <f t="shared" si="5"/>
        <v>361</v>
      </c>
      <c r="AB18" s="932">
        <f t="shared" si="5"/>
        <v>0</v>
      </c>
      <c r="AC18" s="932">
        <f t="shared" si="5"/>
        <v>0</v>
      </c>
      <c r="AD18" s="932">
        <f t="shared" si="5"/>
        <v>0</v>
      </c>
      <c r="AE18" s="932">
        <f t="shared" si="5"/>
        <v>86</v>
      </c>
      <c r="AF18" s="932">
        <f t="shared" si="5"/>
        <v>0</v>
      </c>
      <c r="AG18" s="932">
        <f t="shared" si="5"/>
        <v>0</v>
      </c>
      <c r="AH18" s="932">
        <f t="shared" si="5"/>
        <v>0</v>
      </c>
      <c r="AI18" s="932">
        <f t="shared" si="5"/>
        <v>0</v>
      </c>
      <c r="AJ18" s="932">
        <f t="shared" si="5"/>
        <v>79</v>
      </c>
      <c r="AK18" s="932">
        <f t="shared" si="5"/>
        <v>562</v>
      </c>
      <c r="AL18" s="932">
        <f t="shared" si="5"/>
        <v>0</v>
      </c>
      <c r="AM18" s="932">
        <f t="shared" si="5"/>
        <v>0</v>
      </c>
      <c r="AN18" s="932">
        <f t="shared" si="5"/>
        <v>0</v>
      </c>
      <c r="AO18" s="934">
        <f>IF(ISNUMBER(((NºAsuntos!I18/NºAsuntos!G18)*11)/factor_trimestre),((NºAsuntos!I18/NºAsuntos!G18)*11)/factor_trimestre," - ")</f>
        <v>1.4010349288486417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336</v>
      </c>
      <c r="G19" s="820">
        <f t="shared" si="7"/>
        <v>329</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774</v>
      </c>
      <c r="Z19" s="827">
        <f t="shared" si="8"/>
        <v>125</v>
      </c>
      <c r="AA19" s="828">
        <f t="shared" si="8"/>
        <v>367</v>
      </c>
      <c r="AB19" s="828">
        <f t="shared" si="8"/>
        <v>0</v>
      </c>
      <c r="AC19" s="828">
        <f t="shared" si="8"/>
        <v>0</v>
      </c>
      <c r="AD19" s="829">
        <f t="shared" si="8"/>
        <v>0</v>
      </c>
      <c r="AE19" s="829">
        <f t="shared" si="8"/>
        <v>1431</v>
      </c>
      <c r="AF19" s="830">
        <f t="shared" si="8"/>
        <v>0</v>
      </c>
      <c r="AG19" s="831">
        <f t="shared" si="8"/>
        <v>0</v>
      </c>
      <c r="AH19" s="832">
        <f t="shared" si="8"/>
        <v>0</v>
      </c>
      <c r="AI19" s="830">
        <f t="shared" si="8"/>
        <v>0</v>
      </c>
      <c r="AJ19" s="820">
        <f t="shared" si="8"/>
        <v>308</v>
      </c>
      <c r="AK19" s="820">
        <f t="shared" si="8"/>
        <v>852</v>
      </c>
      <c r="AL19" s="820">
        <f t="shared" si="8"/>
        <v>0</v>
      </c>
      <c r="AM19" s="833">
        <f t="shared" si="8"/>
        <v>0</v>
      </c>
      <c r="AN19" s="823">
        <f>IF(ISNUMBER(Datos!K19/Datos!J19),Datos!K19/Datos!J19," - ")</f>
        <v>0.81253497481813097</v>
      </c>
      <c r="AO19" s="823">
        <f>IF(ISNUMBER(FIND("06",Criterios!A8,1)),(IF(ISNUMBER(((Datos!R19/Datos!Q19)*11)/factor_trimestre),((Datos!R19/Datos!Q19)*11)/factor_trimestre," - ")),(IF(ISNUMBER(((Datos!L19/Datos!K19)*11)/factor_trimestre),((Datos!L19/Datos!K19)*11)/factor_trimestre," - ")))</f>
        <v>3.5950413223140498</v>
      </c>
      <c r="AP19" s="834" t="str">
        <f>IF(ISNUMBER(Datos!CI19/Datos!CJ19),Datos!CI19/Datos!CJ19," - ")</f>
        <v xml:space="preserve"> - </v>
      </c>
      <c r="AQ19" s="834">
        <f>IF(OR(ISNUMBER(FIND("01",Criterios!A8,1)),ISNUMBER(FIND("02",Criterios!A8,1)),ISNUMBER(FIND("03",Criterios!A8,1)),ISNUMBER(FIND("04",Criterios!A8,1))),(J19-Y19+K19)/(F19-K19),(I19-Y19+K19)/(F19-K19))</f>
        <v>-2.3035714285714284</v>
      </c>
      <c r="AR19" s="834">
        <f>IF(ISNUMBER((Datos!P19-Datos!Q19+O19)/(Datos!R19-Datos!P19+Datos!Q19-O19)),(Datos!P19-Datos!Q19+O19)/(Datos!R19-Datos!P19+Datos!Q19-O19)," - ")</f>
        <v>1.4174344436569808E-2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188.216187755818</v>
      </c>
      <c r="G21" s="552">
        <f>IF(ISNUMBER(STDEV(G8:G18)),STDEV(G8:G18),"-")</f>
        <v>172.91124891111048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102.0365947426053</v>
      </c>
      <c r="AK21" s="252"/>
      <c r="AL21" s="252">
        <f>IF(ISNUMBER(STDEV(AL8:AL18)),STDEV(AL8:AL18),"-")</f>
        <v>0</v>
      </c>
      <c r="AM21" s="254">
        <f>IF(ISNUMBER(STDEV(AM8:AM18)),STDEV(AM8:AM18),"-")</f>
        <v>0</v>
      </c>
      <c r="AN21" s="539">
        <f>IF(ISNUMBER(STDEV(AN8:AN18)),STDEV(AN8:AN18),"-")</f>
        <v>0</v>
      </c>
      <c r="AO21" s="540">
        <f>IF(ISNUMBER(STDEV(AO8:AO18)),STDEV(AO8:AO18),"-")</f>
        <v>6.5761873960729211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VDyyoQDeefxCF3YZ/zTAXKCQ0wLgCq6vlEMCS3GOvcjcA9AEwsiydkGpRo5N3P9iVn0C388pP7DHLrAz4t5YA==" saltValue="n4YcS05/07Zxn53+fVp+d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fY0aw8sSrWNdkVpfXm3AUR+BJ6d29/VnuWXP7Y3tIsEw9rtkjDUI5+YaRMslA1ldQ45Gqzxs4vI4vreTtXoA==" saltValue="+Zh3r9C5xky3nhvSZ5pT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ke3jODS2GhLVr/GEG/YNKudbBOWqgDW2gPTZaFQF0jc6VPF9kkyutkETZeYWbc+ajFiloXsVhUYkf0rbf/Bfg==" saltValue="k8+xyVXl3ewyyzMNMs3HV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TERUEL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0.31673582295988933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0.22396604825963951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ed+6VlEcrNM22Gqk6fZhlW7JHjaC6aF0zj2l+FLH8KazxEJdFNlBf6W8sl4Ix827N5czRVIEKvJOglp2tXWwA==" saltValue="4hiPonWrP960db30lrXIr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6u9olz455nNGqKH/fpLodXLCGMcvQOUNjRoGXnkmAf0aTtP5ThsjJqliRQZtVmqpZ+sr1ITqkPAWAmeNIpeMA==" saltValue="vjEIyfuHkzyI/jpXYqKV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TERUEL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2</v>
      </c>
      <c r="F10" s="404">
        <f>IF(ISNUMBER(E10/B10),E10/B10," - ")</f>
        <v>2</v>
      </c>
      <c r="G10" s="403">
        <f>IF(ISNUMBER(Datos!K10),Datos!K10," - ")</f>
        <v>1</v>
      </c>
      <c r="H10" s="404">
        <f>IF(ISNUMBER(G10/B10),G10/B10," - ")</f>
        <v>1</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1089</v>
      </c>
      <c r="D12" s="404">
        <f>IF(ISNUMBER(C12/Datos!BH12),C12/Datos!BH12," - ")</f>
        <v>363</v>
      </c>
      <c r="E12" s="403">
        <f>IF(ISNUMBER(IF(J_V="SI",Datos!J12,Datos!J12+Datos!Z12)),IF(J_V="SI",Datos!J12,Datos!J12+Datos!Z12)," - ")</f>
        <v>1030</v>
      </c>
      <c r="F12" s="404">
        <f>IF(ISNUMBER(E12/B12),E12/B12," - ")</f>
        <v>343.33333333333331</v>
      </c>
      <c r="G12" s="403">
        <f>IF(ISNUMBER(IF(J_V="SI",Datos!K12,Datos!K12+Datos!AA12)),IF(J_V="SI",Datos!K12,Datos!K12+Datos!AA12)," - ")</f>
        <v>722</v>
      </c>
      <c r="H12" s="404">
        <f>IF(ISNUMBER(G12/B12),G12/B12," - ")</f>
        <v>240.66666666666666</v>
      </c>
      <c r="I12" s="403">
        <f>IF(ISNUMBER(IF(J_V="SI",Datos!L12,Datos!L12+Datos!AB12)),IF(J_V="SI",Datos!L12,Datos!L12+Datos!AB12)," - ")</f>
        <v>1397</v>
      </c>
      <c r="J12" s="404">
        <f>IF(ISNUMBER(I12/B12),I12/B12," - ")</f>
        <v>465.66666666666669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1094</v>
      </c>
      <c r="D13" s="850" t="str">
        <f>IF(ISNUMBER(C13/Datos!BI13),C13/Datos!BI13," - ")</f>
        <v xml:space="preserve"> - </v>
      </c>
      <c r="E13" s="849">
        <f>SUBTOTAL(9,E8:E12)</f>
        <v>1032</v>
      </c>
      <c r="F13" s="850">
        <f>IF(ISNUMBER(E13/B13),E13/B13," - ")</f>
        <v>344</v>
      </c>
      <c r="G13" s="849">
        <f>SUBTOTAL(9,G8:G12)</f>
        <v>723</v>
      </c>
      <c r="H13" s="850">
        <f>IF(ISNUMBER(G13/B13),G13/B13," - ")</f>
        <v>241</v>
      </c>
      <c r="I13" s="849">
        <f>SUBTOTAL(9,I8:I12)</f>
        <v>1403</v>
      </c>
      <c r="J13" s="850">
        <f>IF(ISNUMBER(I13/B13),I13/B13," - ")</f>
        <v>467.66666666666669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318</v>
      </c>
      <c r="D16" s="404">
        <f>IF(ISNUMBER(C16/Datos!BH16),C16/Datos!BH16," - ")</f>
        <v>106</v>
      </c>
      <c r="E16" s="403">
        <f>IF(ISNUMBER(IF(D_I="SI",Datos!J16,Datos!J16+Datos!AD16)),IF(D_I="SI",Datos!J16,Datos!J16+Datos!AD16)," - ")</f>
        <v>764</v>
      </c>
      <c r="F16" s="404">
        <f>IF(ISNUMBER(E16/B16),E16/B16," - ")</f>
        <v>254.66666666666666</v>
      </c>
      <c r="G16" s="403">
        <f>IF(ISNUMBER(IF(D_I="SI",Datos!K16,Datos!K16+Datos!AE16)),IF(D_I="SI",Datos!K16,Datos!K16+Datos!AE16)," - ")</f>
        <v>738</v>
      </c>
      <c r="H16" s="404">
        <f>IF(ISNUMBER(G16/B16),G16/B16," - ")</f>
        <v>246</v>
      </c>
      <c r="I16" s="403">
        <f>IF(ISNUMBER(IF(D_I="SI",Datos!L16,Datos!L16+Datos!AF16)),IF(D_I="SI",Datos!L16,Datos!L16+Datos!AF16)," - ")</f>
        <v>357</v>
      </c>
      <c r="J16" s="404">
        <f>IF(ISNUMBER(I16/B16),I16/B16," - ")</f>
        <v>119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33</v>
      </c>
      <c r="F17" s="404">
        <f>IF(ISNUMBER(E17/B17),E17/B17," - ")</f>
        <v>33</v>
      </c>
      <c r="G17" s="403">
        <f>IF(ISNUMBER(IF(D_I="SI",Datos!K17,Datos!K17+Datos!AE17)),IF(D_I="SI",Datos!K17,Datos!K17+Datos!AE17)," - ")</f>
        <v>35</v>
      </c>
      <c r="H17" s="404">
        <f>IF(ISNUMBER(G17/B17),G17/B17," - ")</f>
        <v>35</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324</v>
      </c>
      <c r="D18" s="850" t="str">
        <f>IF(ISNUMBER(C18/Datos!BI18),C18/Datos!BI18," - ")</f>
        <v xml:space="preserve"> - </v>
      </c>
      <c r="E18" s="849">
        <f>SUBTOTAL(9,E14:E17)</f>
        <v>797</v>
      </c>
      <c r="F18" s="850">
        <f>IF(ISNUMBER(E18/B18),E18/B18," - ")</f>
        <v>265.66666666666669</v>
      </c>
      <c r="G18" s="849">
        <f>SUBTOTAL(9,G14:G17)</f>
        <v>773</v>
      </c>
      <c r="H18" s="850">
        <f>IF(ISNUMBER(G18/B18),G18/B18," - ")</f>
        <v>257.66666666666669</v>
      </c>
      <c r="I18" s="849">
        <f>SUBTOTAL(9,I14:I17)</f>
        <v>361</v>
      </c>
      <c r="J18" s="850">
        <f>IF(ISNUMBER(I18/B18),I18/B18," - ")</f>
        <v>120.33333333333333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1418</v>
      </c>
      <c r="D19" s="795" t="str">
        <f>IF(ISNUMBER(C19/Datos!BI19),C19/Datos!BI19," - ")</f>
        <v xml:space="preserve"> - </v>
      </c>
      <c r="E19" s="794">
        <f>SUBTOTAL(9,E9:E18)</f>
        <v>1829</v>
      </c>
      <c r="F19" s="795">
        <f>IF(ISNUMBER(E19/B19),E19/B19," - ")</f>
        <v>609.66666666666663</v>
      </c>
      <c r="G19" s="794">
        <f>SUBTOTAL(9,G9:G18)</f>
        <v>1496</v>
      </c>
      <c r="H19" s="795">
        <f>IF(ISNUMBER(G19/B19),G19/B19," - ")</f>
        <v>498.66666666666669</v>
      </c>
      <c r="I19" s="794">
        <f>SUBTOTAL(9,I9:I18)</f>
        <v>1764</v>
      </c>
      <c r="J19" s="795">
        <f>IF(ISNUMBER(I19/B19),I19/B19," - ")</f>
        <v>588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MI+ksudB34nR2q3iXj0Wi7/wjm2F1jlYqfIlxnQy7rcnph27A9CJDCYEQbFP8Uob7wzmO77J12X4XE0N5stqQ==" saltValue="fajF3P/NxKFdTThyeLv4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TERUEL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228</v>
      </c>
      <c r="AM12" s="690">
        <f>IF(ISNUMBER(Datos!N12+DatosP!N16),Datos!N12+DatosP!N16," - ")</f>
        <v>290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5.8047091412742384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2.5993883792048929E-2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99</v>
      </c>
      <c r="AE13" s="939">
        <f t="shared" si="1"/>
        <v>0</v>
      </c>
      <c r="AF13" s="939">
        <f t="shared" si="1"/>
        <v>6</v>
      </c>
      <c r="AG13" s="939">
        <f t="shared" si="1"/>
        <v>0</v>
      </c>
      <c r="AH13" s="939">
        <f t="shared" si="1"/>
        <v>1342</v>
      </c>
      <c r="AI13" s="939">
        <f t="shared" si="1"/>
        <v>0</v>
      </c>
      <c r="AJ13" s="939">
        <f t="shared" si="1"/>
        <v>0</v>
      </c>
      <c r="AK13" s="939">
        <f t="shared" si="1"/>
        <v>0</v>
      </c>
      <c r="AL13" s="939">
        <f t="shared" si="1"/>
        <v>229</v>
      </c>
      <c r="AM13" s="939">
        <f t="shared" si="1"/>
        <v>290</v>
      </c>
      <c r="AN13" s="939">
        <f t="shared" si="1"/>
        <v>0</v>
      </c>
      <c r="AO13" s="939">
        <f t="shared" si="1"/>
        <v>0</v>
      </c>
      <c r="AP13" s="944">
        <f>IF(ISNUMBER(((Datos!L13/Datos!K13)*11)/factor_trimestre),((Datos!L13/Datos!K13)*11)/factor_trimestre," - ")</f>
        <v>6.0927835051546388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2.5993883792048929E-2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1.4010349288486417</v>
      </c>
      <c r="AQ18" s="944">
        <f>IF(ISNUMBER(((Datos!M18/Datos!L18)*11)/factor_trimestre),((Datos!M18/Datos!L18)*11)/factor_trimestre," - ")</f>
        <v>0.65650969529085867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-0.14000000000000001</v>
      </c>
      <c r="AW18" s="946">
        <f>IF(ISNUMBER((Datos!Q18-Datos!R18)/(Datos!S18-Datos!Q18+Datos!R18)),(Datos!Q18-Datos!R18)/(Datos!S18-Datos!Q18+Datos!R18)," - ")</f>
        <v>-0.15789473684210525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99</v>
      </c>
      <c r="AE19" s="957">
        <f t="shared" si="5"/>
        <v>0</v>
      </c>
      <c r="AF19" s="958">
        <f t="shared" si="5"/>
        <v>6</v>
      </c>
      <c r="AG19" s="958">
        <f t="shared" si="5"/>
        <v>0</v>
      </c>
      <c r="AH19" s="958">
        <f t="shared" si="5"/>
        <v>1342</v>
      </c>
      <c r="AI19" s="958">
        <f t="shared" si="5"/>
        <v>0</v>
      </c>
      <c r="AJ19" s="959">
        <f t="shared" si="5"/>
        <v>0</v>
      </c>
      <c r="AK19" s="959">
        <f t="shared" si="5"/>
        <v>0</v>
      </c>
      <c r="AL19" s="951">
        <f t="shared" si="5"/>
        <v>229</v>
      </c>
      <c r="AM19" s="951">
        <f t="shared" si="5"/>
        <v>290</v>
      </c>
      <c r="AN19" s="951">
        <f t="shared" si="5"/>
        <v>0</v>
      </c>
      <c r="AO19" s="951">
        <f t="shared" si="5"/>
        <v>0</v>
      </c>
      <c r="AP19" s="951">
        <f>IF(ISNUMBER(((Datos!L19/Datos!K19)*11)/factor_trimestre),((Datos!L19/Datos!K19)*11)/factor_trimestre," - ")</f>
        <v>3.5950413223140498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1.4174344436569808E-2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131.63712748815712</v>
      </c>
      <c r="AM21" s="736"/>
      <c r="AN21" s="736">
        <f>IF(ISNUMBER(STDEV(AN8:AN18)),STDEV(AN8:AN18),"-")</f>
        <v>0</v>
      </c>
      <c r="AO21" s="742">
        <f>IF(ISNUMBER(STDEV(AO8:AO18)),STDEV(AO8:AO18),"-")</f>
        <v>0</v>
      </c>
      <c r="AP21" s="779">
        <f>IF(ISNUMBER(STDEV(AP8:AP18)),STDEV(AP8:AP18),"-")</f>
        <v>7.115244217692724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vL2pRT4xPTKaXUtYS4bvLjOSLpKG7991on6xTQ8aBoKtYcJMM/bEnuEnQ75AAGnjlPjHUnk2gninmaAKqZ0+w==" saltValue="DuNQq+cjBhsBZqv4zrFNw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TERUEL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fTIx7BxZWZ6/dDen4YnMOvx5WjzYEAojMTN8AcGUssBI1pGaMJ4Az0ysCU/TRUJw7HMFwyfvAdjv8PdaxzoHg==" saltValue="b9GZMunZsaGdrNlSR/PD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TERUEL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228</v>
      </c>
      <c r="E12" s="404">
        <f t="shared" si="0"/>
        <v>76</v>
      </c>
      <c r="F12" s="403">
        <f>IF(ISNUMBER(Datos!N12),Datos!N12," - ")</f>
        <v>290</v>
      </c>
      <c r="G12" s="404">
        <f t="shared" si="1"/>
        <v>96.666666666666671</v>
      </c>
      <c r="H12" s="403">
        <f>IF(ISNUMBER(Datos!O12),Datos!O12," - ")</f>
        <v>267</v>
      </c>
      <c r="I12" s="404">
        <f t="shared" si="2"/>
        <v>89</v>
      </c>
      <c r="BZ12" s="1186">
        <f>Datos!EZ12</f>
        <v>0</v>
      </c>
    </row>
    <row r="13" spans="1:78" ht="14.25" thickTop="1" thickBot="1">
      <c r="A13" s="848" t="str">
        <f>Datos!A13</f>
        <v>TOTAL</v>
      </c>
      <c r="B13" s="849">
        <f>Datos!AP13</f>
        <v>3</v>
      </c>
      <c r="C13" s="851">
        <f>Datos!AR13</f>
        <v>3</v>
      </c>
      <c r="D13" s="849">
        <f>SUBTOTAL(9,D9:D12)</f>
        <v>229</v>
      </c>
      <c r="E13" s="850">
        <f t="shared" si="0"/>
        <v>76.333333333333329</v>
      </c>
      <c r="F13" s="849">
        <f>SUBTOTAL(9,F9:F12)</f>
        <v>290</v>
      </c>
      <c r="G13" s="850">
        <f t="shared" si="1"/>
        <v>96.666666666666671</v>
      </c>
      <c r="H13" s="849">
        <f>SUBTOTAL(9,H9:H12)</f>
        <v>267</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67</v>
      </c>
      <c r="E16" s="404">
        <f t="shared" si="3"/>
        <v>22.333333333333332</v>
      </c>
      <c r="F16" s="403">
        <f>IF(ISNUMBER(Datos!N16),Datos!N16," - ")</f>
        <v>544</v>
      </c>
      <c r="G16" s="404">
        <f t="shared" si="4"/>
        <v>181.33333333333334</v>
      </c>
      <c r="H16" s="403">
        <f>IF(ISNUMBER(Datos!O16),Datos!O16," - ")</f>
        <v>15</v>
      </c>
      <c r="I16" s="404">
        <f t="shared" si="5"/>
        <v>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79</v>
      </c>
      <c r="E18" s="850">
        <f t="shared" si="3"/>
        <v>26.333333333333332</v>
      </c>
      <c r="F18" s="849">
        <f>SUBTOTAL(9,F15:F17)</f>
        <v>562</v>
      </c>
      <c r="G18" s="850">
        <f t="shared" si="4"/>
        <v>187.33333333333334</v>
      </c>
      <c r="H18" s="849">
        <f>SUBTOTAL(9,H15:H17)</f>
        <v>15</v>
      </c>
      <c r="I18" s="850">
        <f>IF(ISNUMBER(H18/B18),H18/B18," - ")</f>
        <v>5</v>
      </c>
      <c r="BZ18" s="1186"/>
    </row>
    <row r="19" spans="1:78" ht="14.25" thickTop="1" thickBot="1">
      <c r="A19" s="793" t="str">
        <f>Datos!A19</f>
        <v>TOTAL JURISDICCIONES</v>
      </c>
      <c r="B19" s="794">
        <f>Datos!AP19</f>
        <v>3</v>
      </c>
      <c r="C19" s="794">
        <f>Datos!AR19</f>
        <v>3</v>
      </c>
      <c r="D19" s="794">
        <f>SUBTOTAL(9,D8:D18)</f>
        <v>308</v>
      </c>
      <c r="E19" s="795">
        <f>IF(ISNUMBER(D19/B19),D19/B19," - ")</f>
        <v>102.66666666666667</v>
      </c>
      <c r="F19" s="794">
        <f>SUBTOTAL(9,F8:F18)</f>
        <v>852</v>
      </c>
      <c r="G19" s="795">
        <f>IF(ISNUMBER(F19/B19),F19/B19," - ")</f>
        <v>284</v>
      </c>
      <c r="H19" s="794">
        <f>SUBTOTAL(9,H8:H18)</f>
        <v>282</v>
      </c>
      <c r="I19" s="795">
        <f>IF(ISNUMBER(H19/B19),H19/B19," - ")</f>
        <v>94</v>
      </c>
    </row>
    <row r="22" spans="1:78">
      <c r="A22" s="391" t="str">
        <f>Criterios!A4</f>
        <v>Fecha Informe: 03 jun. 2025</v>
      </c>
    </row>
    <row r="27" spans="1:78">
      <c r="A27" s="414"/>
    </row>
  </sheetData>
  <sheetProtection algorithmName="SHA-512" hashValue="9jV6dVoxtFHMFyqQEFS7McM3I+45ZKpXf0Hs0L1FYL9g80excgpTI83u1IUcw1yIvMo2tsKs2zI2BO8jQTveTg==" saltValue="AjHlUAaKs3EcLj1OJBWf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TERUEL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133</v>
      </c>
      <c r="C12" s="434">
        <f>IF(ISNUMBER(Datos!Q12),Datos!Q12," - ")</f>
        <v>99</v>
      </c>
      <c r="D12" s="408">
        <f>IF(ISNUMBER(Datos!R12),Datos!R12," - ")</f>
        <v>1342</v>
      </c>
    </row>
    <row r="13" spans="1:4" ht="14.25" thickTop="1" thickBot="1">
      <c r="A13" s="848" t="str">
        <f>Datos!A13</f>
        <v>TOTAL</v>
      </c>
      <c r="B13" s="849">
        <f>SUBTOTAL(9,B9:B12)</f>
        <v>133</v>
      </c>
      <c r="C13" s="853">
        <f>SUBTOTAL(9,C9:C12)</f>
        <v>99</v>
      </c>
      <c r="D13" s="851">
        <f>SUBTOTAL(9,D9:D12)</f>
        <v>1345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26</v>
      </c>
      <c r="D16" s="408">
        <f>IF(ISNUMBER(Datos!R16),Datos!R16," - ")</f>
        <v>81</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12</v>
      </c>
      <c r="C18" s="853">
        <f>SUBTOTAL(9,C15:C17)</f>
        <v>26</v>
      </c>
      <c r="D18" s="851">
        <f>SUBTOTAL(9,D15:D17)</f>
        <v>86</v>
      </c>
    </row>
    <row r="19" spans="1:4" ht="16.5" customHeight="1" thickTop="1" thickBot="1">
      <c r="A19" s="793" t="str">
        <f>Datos!A19</f>
        <v>TOTAL JURISDICCIONES</v>
      </c>
      <c r="B19" s="798">
        <f>SUBTOTAL(9,B8:B18)</f>
        <v>145</v>
      </c>
      <c r="C19" s="799">
        <f>SUBTOTAL(9,C8:C18)</f>
        <v>125</v>
      </c>
      <c r="D19" s="800">
        <f>SUBTOTAL(9,D8:D18)</f>
        <v>1431</v>
      </c>
    </row>
    <row r="20" spans="1:4" ht="7.5" customHeight="1"/>
    <row r="21" spans="1:4" ht="6" customHeight="1"/>
    <row r="22" spans="1:4">
      <c r="A22" s="391" t="str">
        <f>Criterios!A4</f>
        <v>Fecha Informe: 03 jun. 2025</v>
      </c>
    </row>
    <row r="27" spans="1:4">
      <c r="A27" s="414"/>
    </row>
  </sheetData>
  <sheetProtection algorithmName="SHA-512" hashValue="8w5FJ5Kn9l+40Y2dX2kpG64sxp7xI4+wmCzgXwjeTs5OQXr3OfWNS9iC5pHB94sqYC0IbLAq+QQ/fM8mtC4JIA==" saltValue="/KmnPKa8WiYIGdP8Le4H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TERUEL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1</v>
      </c>
      <c r="D10" s="456">
        <f>IF(ISNUMBER((Datos!K10-Datos!U10)/Datos!U10),(Datos!K10-Datos!U10)/Datos!U10," - ")</f>
        <v>-0.5</v>
      </c>
      <c r="E10" s="456">
        <f>IF(ISNUMBER((Datos!L10-Datos!V10)/Datos!V10),(Datos!L10-Datos!V10)/Datos!V10," - ")</f>
        <v>0.2</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1.4</v>
      </c>
      <c r="J10" s="461">
        <f>IF(ISNUMBER((('Resol  Asuntos'!D10/NºAsuntos!G10)-Datos!BF10)/Datos!BF10),(('Resol  Asuntos'!D10/NºAsuntos!G10)-Datos!BF10)/Datos!BF10," - ")</f>
        <v>0</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0.33292533659730722</v>
      </c>
      <c r="C12" s="456">
        <f>IF(ISNUMBER(
   IF(J_V="SI",(Datos!J12-Datos!T12)/Datos!T12,(Datos!J12+Datos!Z12-(Datos!T12+Datos!AH12))/(Datos!T12+Datos!AH12))
     ),IF(J_V="SI",(Datos!J12-Datos!T12)/Datos!T12,(Datos!J12+Datos!Z12-(Datos!T12+Datos!AH12))/(Datos!T12+Datos!AH12))," - ")</f>
        <v>0.36063408190224572</v>
      </c>
      <c r="D12" s="456">
        <f>IF(ISNUMBER(
   IF(J_V="SI",(Datos!K12-Datos!U12)/Datos!U12,(Datos!K12+Datos!AA12-(Datos!U12+Datos!AI12))/(Datos!U12+Datos!AI12))
     ),IF(J_V="SI",(Datos!K12-Datos!U12)/Datos!U12,(Datos!K12+Datos!AA12-(Datos!U12+Datos!AI12))/(Datos!U12+Datos!AI12))," - ")</f>
        <v>0.13700787401574804</v>
      </c>
      <c r="E12" s="456">
        <f>IF(ISNUMBER(
   IF(J_V="SI",(Datos!L12-Datos!V12)/Datos!V12,(Datos!L12+Datos!AB12-(Datos!V12+Datos!AJ12))/(Datos!V12+Datos!AJ12))
     ),IF(J_V="SI",(Datos!L12-Datos!V12)/Datos!V12,(Datos!L12+Datos!AB12-(Datos!V12+Datos!AJ12))/(Datos!V12+Datos!AJ12))," - ")</f>
        <v>0.48775292864749736</v>
      </c>
      <c r="F12" s="456">
        <f>IF(ISNUMBER((Datos!M12-Datos!W12)/Datos!W12),(Datos!M12-Datos!W12)/Datos!W12," - ")</f>
        <v>0.57241379310344831</v>
      </c>
      <c r="G12" s="457">
        <f>IF(ISNUMBER((Datos!N12-Datos!X12)/Datos!X12),(Datos!N12-Datos!X12)/Datos!X12," - ")</f>
        <v>1.0452961672473868E-2</v>
      </c>
      <c r="H12" s="455">
        <f>IF(ISNUMBER(((NºAsuntos!G12/NºAsuntos!E12)-Datos!BD12)/Datos!BD12),((NºAsuntos!G12/NºAsuntos!E12)-Datos!BD12)/Datos!BD12," - ")</f>
        <v>-0.16435440715541627</v>
      </c>
      <c r="I12" s="456">
        <f>IF(ISNUMBER(((NºAsuntos!I12/NºAsuntos!G12)-Datos!BE12)/Datos!BE12),((NºAsuntos!I12/NºAsuntos!G12)-Datos!BE12)/Datos!BE12," - ")</f>
        <v>0.30848076134509811</v>
      </c>
      <c r="J12" s="461">
        <f>IF(ISNUMBER((('Resol  Asuntos'!D12/NºAsuntos!G12)-Datos!BF12)/Datos!BF12),(('Resol  Asuntos'!D12/NºAsuntos!G12)-Datos!BF12)/Datos!BF12," - ")</f>
        <v>-0.30130203557674679</v>
      </c>
      <c r="K12" s="462">
        <f>IF(ISNUMBER((((NºAsuntos!C12+NºAsuntos!E12)/NºAsuntos!G12)-Datos!BG12)/Datos!BG12),(((NºAsuntos!C12+NºAsuntos!E12)/NºAsuntos!G12)-Datos!BG12)/Datos!BG12," - ")</f>
        <v>0.18403013653306668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0.32928311057108139</v>
      </c>
      <c r="C13" s="855">
        <f>IF(ISNUMBER(
   IF(J_V="SI",(Datos!J13-Datos!T13)/Datos!T13,(Datos!J13+Datos!Z13-(Datos!T13+Datos!AH13))/(Datos!T13+Datos!AH13))
     ),IF(J_V="SI",(Datos!J13-Datos!T13)/Datos!T13,(Datos!J13+Datos!Z13-(Datos!T13+Datos!AH13))/(Datos!T13+Datos!AH13))," - ")</f>
        <v>0.36147757255936674</v>
      </c>
      <c r="D13" s="855">
        <f>IF(ISNUMBER(
   IF(J_V="SI",(Datos!K13-Datos!U13)/Datos!U13,(Datos!K13+Datos!AA13-(Datos!U13+Datos!AI13))/(Datos!U13+Datos!AI13))
     ),IF(J_V="SI",(Datos!K13-Datos!U13)/Datos!U13,(Datos!K13+Datos!AA13-(Datos!U13+Datos!AI13))/(Datos!U13+Datos!AI13))," - ")</f>
        <v>0.13500784929356358</v>
      </c>
      <c r="E13" s="855">
        <f>IF(ISNUMBER(
   IF(J_V="SI",(Datos!L13-Datos!V13)/Datos!V13,(Datos!L13+Datos!AB13-(Datos!V13+Datos!AJ13))/(Datos!V13+Datos!AJ13))
     ),IF(J_V="SI",(Datos!L13-Datos!V13)/Datos!V13,(Datos!L13+Datos!AB13-(Datos!V13+Datos!AJ13))/(Datos!V13+Datos!AJ13))," - ")</f>
        <v>0.48622881355932202</v>
      </c>
      <c r="F13" s="856">
        <f>IF(ISNUMBER((Datos!M13-Datos!W13)/Datos!W13),(Datos!M13-Datos!W13)/Datos!W13," - ")</f>
        <v>0.55782312925170063</v>
      </c>
      <c r="G13" s="857">
        <f>IF(ISNUMBER((Datos!N13-Datos!X13)/Datos!X13),(Datos!N13-Datos!X13)/Datos!X13," - ")</f>
        <v>1.0452961672473868E-2</v>
      </c>
      <c r="H13" s="857">
        <f>IF(ISNUMBER(((NºAsuntos!G13/NºAsuntos!E13)-Datos!BD13)/Datos!BD13),((NºAsuntos!G13/NºAsuntos!E13)-Datos!BD13)/Datos!BD13," - ")</f>
        <v>-0.16634113394910738</v>
      </c>
      <c r="I13" s="857">
        <f>IF(ISNUMBER(((NºAsuntos!I13/NºAsuntos!G13)-Datos!BE13)/Datos!BE13),((NºAsuntos!I13/NºAsuntos!G13)-Datos!BE13)/Datos!BE13," - ")</f>
        <v>0.30944364348172637</v>
      </c>
      <c r="J13" s="857">
        <f>IF(ISNUMBER((('Resol  Asuntos'!D13/NºAsuntos!G13)-Datos!BF13)/Datos!BF13),(('Resol  Asuntos'!D13/NºAsuntos!G13)-Datos!BF13)/Datos!BF13," - ")</f>
        <v>-0.30186602344135116</v>
      </c>
      <c r="K13" s="857">
        <f>IF(ISNUMBER((((NºAsuntos!C13+NºAsuntos!E13)/NºAsuntos!G13)-Datos!BG13)/Datos!BG13),(((NºAsuntos!C13+NºAsuntos!E13)/NºAsuntos!G13)-Datos!BG13)/Datos!BG13," - ")</f>
        <v>0.1847658440523402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1.2738853503184714E-2</v>
      </c>
      <c r="C16" s="456">
        <f>IF(ISNUMBER(
   IF(D_I="SI",(Datos!J16-Datos!T16)/Datos!T16,(Datos!J16+Datos!AD16-(Datos!T16+Datos!AL16))/(Datos!T16+Datos!AL16))
     ),IF(D_I="SI",(Datos!J16-Datos!T16)/Datos!T16,(Datos!J16+Datos!AD16-(Datos!T16+Datos!AL16))/(Datos!T16+Datos!AL16))," - ")</f>
        <v>9.2989985693848351E-2</v>
      </c>
      <c r="D16" s="456">
        <f>IF(ISNUMBER(
   IF(D_I="SI",(Datos!K16-Datos!U16)/Datos!U16,(Datos!K16+Datos!AE16-(Datos!U16+Datos!AM16))/(Datos!U16+Datos!AM16))
     ),IF(D_I="SI",(Datos!K16-Datos!U16)/Datos!U16,(Datos!K16+Datos!AE16-(Datos!U16+Datos!AM16))/(Datos!U16+Datos!AM16))," - ")</f>
        <v>5.730659025787966E-2</v>
      </c>
      <c r="E16" s="456">
        <f>IF(ISNUMBER(
   IF(D_I="SI",(Datos!L16-Datos!V16)/Datos!V16,(Datos!L16+Datos!AF16-(Datos!V16+Datos!AN16))/(Datos!V16+Datos!AN16))
     ),IF(D_I="SI",(Datos!L16-Datos!V16)/Datos!V16,(Datos!L16+Datos!AF16-(Datos!V16+Datos!AN16))/(Datos!V16+Datos!AN16))," - ")</f>
        <v>0.11214953271028037</v>
      </c>
      <c r="F16" s="456">
        <f>IF(ISNUMBER((Datos!M16-Datos!W16)/Datos!W16),(Datos!M16-Datos!W16)/Datos!W16," - ")</f>
        <v>0.15517241379310345</v>
      </c>
      <c r="G16" s="457">
        <f>IF(ISNUMBER((Datos!N16-Datos!X16)/Datos!X16),(Datos!N16-Datos!X16)/Datos!X16," - ")</f>
        <v>2.0637898686679174E-2</v>
      </c>
      <c r="H16" s="455">
        <f>IF(ISNUMBER(((NºAsuntos!G16/NºAsuntos!E16)-Datos!BD16)/Datos!BD16),((NºAsuntos!G16/NºAsuntos!E16)-Datos!BD16)/Datos!BD16," - ")</f>
        <v>-3.2647504463013295E-2</v>
      </c>
      <c r="I16" s="456">
        <f>IF(ISNUMBER(((NºAsuntos!I16/NºAsuntos!G16)-Datos!BE16)/Datos!BE16),((NºAsuntos!I16/NºAsuntos!G16)-Datos!BE16)/Datos!BE16," - ")</f>
        <v>5.1870425246308534E-2</v>
      </c>
      <c r="J16" s="461">
        <f>IF(ISNUMBER((('Resol  Asuntos'!D16/NºAsuntos!G16)-Datos!BF16)/Datos!BF16),(('Resol  Asuntos'!D16/NºAsuntos!G16)-Datos!BF16)/Datos!BF16," - ")</f>
        <v>9.2561442855807793E-2</v>
      </c>
      <c r="K16" s="462">
        <f>IF(ISNUMBER((((NºAsuntos!C16+NºAsuntos!E16)/NºAsuntos!G16)-Datos!BG16)/Datos!BG16),(((NºAsuntos!C16+NºAsuntos!E16)/NºAsuntos!G16)-Datos!BG16)/Datos!BG16," - ")</f>
        <v>1.0222125913263078E-2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0.26923076923076922</v>
      </c>
      <c r="D17" s="456">
        <f>IF(ISNUMBER(
   IF(D_I="SI",(Datos!K17-Datos!U17)/Datos!U17,(Datos!K17+Datos!AE17-(Datos!U17+Datos!AM17))/(Datos!U17+Datos!AM17))
     ),IF(D_I="SI",(Datos!K17-Datos!U17)/Datos!U17,(Datos!K17+Datos!AE17-(Datos!U17+Datos!AM17))/(Datos!U17+Datos!AM17))," - ")</f>
        <v>0.34615384615384615</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0.7142857142857143</v>
      </c>
      <c r="G17" s="457">
        <f>IF(ISNUMBER((Datos!N17-Datos!X17)/Datos!X17),(Datos!N17-Datos!X17)/Datos!X17," - ")</f>
        <v>-0.1</v>
      </c>
      <c r="H17" s="455">
        <f>IF(ISNUMBER(((NºAsuntos!G17/NºAsuntos!E17)-Datos!BD17)/Datos!BD17),((NºAsuntos!G17/NºAsuntos!E17)-Datos!BD17)/Datos!BD17," - ")</f>
        <v>6.0606060606060552E-2</v>
      </c>
      <c r="I17" s="456">
        <f>IF(ISNUMBER(((NºAsuntos!I17/NºAsuntos!G17)-Datos!BE17)/Datos!BE17),((NºAsuntos!I17/NºAsuntos!G17)-Datos!BE17)/Datos!BE17," - ")</f>
        <v>-0.50476190476190486</v>
      </c>
      <c r="J17" s="461">
        <f>IF(ISNUMBER((('Resol  Asuntos'!D17/NºAsuntos!G17)-Datos!BF17)/Datos!BF17),(('Resol  Asuntos'!D17/NºAsuntos!G17)-Datos!BF17)/Datos!BF17," - ")</f>
        <v>0.2734693877551021</v>
      </c>
      <c r="K17" s="462">
        <f>IF(ISNUMBER((((NºAsuntos!C17+NºAsuntos!E17)/NºAsuntos!G17)-Datos!BG17)/Datos!BG17),(((NºAsuntos!C17+NºAsuntos!E17)/NºAsuntos!G17)-Datos!BG17)/Datos!BG17," - ")</f>
        <v>-9.4642857142857167E-2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1.2500000000000001E-2</v>
      </c>
      <c r="C18" s="855">
        <f>IF(ISNUMBER(
   IF(Criterios!B14="SI",(Datos!J18-Datos!T18)/Datos!T18,(Datos!J18+Datos!AD18-(Datos!T18+Datos!AL18))/(Datos!T18+Datos!AL18))
     ),IF(Criterios!B14="SI",(Datos!J18-Datos!T18)/Datos!T18,(Datos!J18+Datos!AD18-(Datos!T18+Datos!AL18))/(Datos!T18+Datos!AL18))," - ")</f>
        <v>9.9310344827586203E-2</v>
      </c>
      <c r="D18" s="855">
        <f>IF(ISNUMBER(
   IF(Criterios!B14="SI",(Datos!K18-Datos!U18)/Datos!U18,(Datos!K18+Datos!AE18-(Datos!U18+Datos!AM18))/(Datos!U18+Datos!AM18))
     ),IF(Criterios!B14="SI",(Datos!K18-Datos!U18)/Datos!U18,(Datos!K18+Datos!AE18-(Datos!U18+Datos!AM18))/(Datos!U18+Datos!AM18))," - ")</f>
        <v>6.7679558011049717E-2</v>
      </c>
      <c r="E18" s="855">
        <f>IF(ISNUMBER(
   IF(Criterios!B14="SI",(Datos!L18-Datos!V18)/Datos!V18,(Datos!L18+Datos!AF18-(Datos!V18+Datos!AN18))/(Datos!V18+Datos!AN18))
     ),IF(Criterios!B14="SI",(Datos!L18-Datos!V18)/Datos!V18,(Datos!L18+Datos!AF18-(Datos!V18+Datos!AN18))/(Datos!V18+Datos!AN18))," - ")</f>
        <v>0.10397553516819572</v>
      </c>
      <c r="F18" s="856">
        <f>IF(ISNUMBER((Datos!M18-Datos!W18)/Datos!W18),(Datos!M18-Datos!W18)/Datos!W18," - ")</f>
        <v>0.2153846153846154</v>
      </c>
      <c r="G18" s="857">
        <f>IF(ISNUMBER((Datos!N18-Datos!X18)/Datos!X18),(Datos!N18-Datos!X18)/Datos!X18," - ")</f>
        <v>1.62748643761302E-2</v>
      </c>
      <c r="H18" s="857">
        <f>IF(ISNUMBER(((NºAsuntos!G18/NºAsuntos!E18)-Datos!BD18)/Datos!BD18),((NºAsuntos!G18/NºAsuntos!E18)-Datos!BD18)/Datos!BD18," - ")</f>
        <v>-2.8773300429095271E-2</v>
      </c>
      <c r="I18" s="857">
        <f>IF(ISNUMBER(((NºAsuntos!I18/NºAsuntos!G18)-Datos!BE18)/Datos!BE18),((NºAsuntos!I18/NºAsuntos!G18)-Datos!BE18)/Datos!BE18," - ")</f>
        <v>3.3995197233859943E-2</v>
      </c>
      <c r="J18" s="857">
        <f>IF(ISNUMBER((('Resol  Asuntos'!D18/NºAsuntos!G18)-Datos!BF18)/Datos!BF18),(('Resol  Asuntos'!D18/NºAsuntos!G18)-Datos!BF18)/Datos!BF18," - ")</f>
        <v>0.13834212359438744</v>
      </c>
      <c r="K18" s="857">
        <f>IF(ISNUMBER((((NºAsuntos!C18+NºAsuntos!E18)/NºAsuntos!G18)-Datos!BG18)/Datos!BG18),(((NºAsuntos!C18+NºAsuntos!E18)/NºAsuntos!G18)-Datos!BG18)/Datos!BG18," - ")</f>
        <v>4.7277431494766146E-3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0.24059492563429571</v>
      </c>
      <c r="C19" s="802">
        <f>IF(ISNUMBER(
   IF(J_V="SI",(Datos!J19-Datos!T19)/Datos!T19,(Datos!J19+Datos!Z19-(Datos!T19+Datos!AH19))/(Datos!T19+Datos!AH19))
     ),IF(J_V="SI",(Datos!J19-Datos!T19)/Datos!T19,(Datos!J19+Datos!Z19-(Datos!T19+Datos!AH19))/(Datos!T19+Datos!AH19))," - ")</f>
        <v>0.23331085637221849</v>
      </c>
      <c r="D19" s="802">
        <f>IF(ISNUMBER(
   IF(J_V="SI",(Datos!K19-Datos!U19)/Datos!U19,(Datos!K19+Datos!AA19-(Datos!U19+Datos!AI19))/(Datos!U19+Datos!AI19))
     ),IF(J_V="SI",(Datos!K19-Datos!U19)/Datos!U19,(Datos!K19+Datos!AA19-(Datos!U19+Datos!AI19))/(Datos!U19+Datos!AI19))," - ")</f>
        <v>9.9191770756796471E-2</v>
      </c>
      <c r="E19" s="802">
        <f>IF(ISNUMBER(
   IF(J_V="SI",(Datos!L19-Datos!V19)/Datos!V19,(Datos!L19+Datos!AB19-(Datos!V19+Datos!AJ19))/(Datos!V19+Datos!AJ19))
     ),IF(J_V="SI",(Datos!L19-Datos!V19)/Datos!V19,(Datos!L19+Datos!AB19-(Datos!V19+Datos!AJ19))/(Datos!V19+Datos!AJ19))," - ")</f>
        <v>0.38788355625491738</v>
      </c>
      <c r="F19" s="803">
        <f>IF(ISNUMBER((Datos!M19-Datos!W19)/Datos!W19),(Datos!M19-Datos!W19)/Datos!W19," - ")</f>
        <v>0.45283018867924529</v>
      </c>
      <c r="G19" s="804">
        <f>IF(ISNUMBER((Datos!N19-Datos!X19)/Datos!X19),(Datos!N19-Datos!X19)/Datos!X19," - ")</f>
        <v>1.4285714285714285E-2</v>
      </c>
      <c r="H19" s="805">
        <f>IF(ISNUMBER((Tasas!B19-Datos!BD19)/Datos!BD19),(Tasas!B19-Datos!BD19)/Datos!BD19," - ")</f>
        <v>-0.10874718642300213</v>
      </c>
      <c r="I19" s="806">
        <f>IF(ISNUMBER((Tasas!C19-Datos!BE19)/Datos!BE19),(Tasas!C19-Datos!BE19)/Datos!BE19," - ")</f>
        <v>0.26264005351800984</v>
      </c>
      <c r="J19" s="807">
        <f>IF(ISNUMBER((Tasas!D19-Datos!BF19)/Datos!BF19),(Tasas!D19-Datos!BF19)/Datos!BF19," - ")</f>
        <v>-0.20845795945496845</v>
      </c>
      <c r="K19" s="807">
        <f>IF(ISNUMBER((Tasas!E19-Datos!BG19)/Datos!BG19),(Tasas!E19-Datos!BG19)/Datos!BG19," - ")</f>
        <v>0.12490047081631232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uqwpbxWmlgqYFbifLBu4tx4oAdaKcFM6x9USBOqoR8vtAttbCXWjVX4fPnPHPEOwUDntNs9JhLxVuF51WMmOw==" saltValue="00ifI0t+g9U3yywO36vy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TERUEL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6</v>
      </c>
      <c r="D10" s="444">
        <f>IF(ISNUMBER('Resol  Asuntos'!D10/NºAsuntos!G10),'Resol  Asuntos'!D10/NºAsuntos!G10," - ")</f>
        <v>1</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0.70097087378640777</v>
      </c>
      <c r="C12" s="443">
        <f>IF(ISNUMBER(NºAsuntos!I12/NºAsuntos!G12),NºAsuntos!I12/NºAsuntos!G12," - ")</f>
        <v>1.9349030470914128</v>
      </c>
      <c r="D12" s="444">
        <f>IF(ISNUMBER('Resol  Asuntos'!D12/NºAsuntos!G12),'Resol  Asuntos'!D12/NºAsuntos!G12," - ")</f>
        <v>0.31578947368421051</v>
      </c>
      <c r="E12" s="445">
        <f>IF(ISNUMBER((NºAsuntos!C12+NºAsuntos!E12)/NºAsuntos!G12),(NºAsuntos!C12+NºAsuntos!E12)/NºAsuntos!G12," - ")</f>
        <v>2.9349030470914128</v>
      </c>
      <c r="G12" s="463"/>
    </row>
    <row r="13" spans="1:7" ht="14.25" thickTop="1" thickBot="1">
      <c r="A13" s="848" t="str">
        <f>Datos!A13</f>
        <v>TOTAL</v>
      </c>
      <c r="B13" s="858">
        <f>IF(ISNUMBER(NºAsuntos!G13/NºAsuntos!E13),NºAsuntos!G13/NºAsuntos!E13," - ")</f>
        <v>0.70058139534883723</v>
      </c>
      <c r="C13" s="859">
        <f>IF(ISNUMBER(NºAsuntos!I13/NºAsuntos!G13),NºAsuntos!I13/NºAsuntos!G13," - ")</f>
        <v>1.9405255878284924</v>
      </c>
      <c r="D13" s="860">
        <f>IF(ISNUMBER('Resol  Asuntos'!D13/NºAsuntos!G13),'Resol  Asuntos'!D13/NºAsuntos!G13," - ")</f>
        <v>0.31673582295988933</v>
      </c>
      <c r="E13" s="861">
        <f>IF(ISNUMBER((NºAsuntos!C13+NºAsuntos!E13)/NºAsuntos!G13),(NºAsuntos!C13+NºAsuntos!E13)/NºAsuntos!G13," - ")</f>
        <v>2.9405255878284926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0.96596858638743455</v>
      </c>
      <c r="C16" s="443">
        <f>IF(ISNUMBER(NºAsuntos!I16/NºAsuntos!G16),NºAsuntos!I16/NºAsuntos!G16," - ")</f>
        <v>0.48373983739837401</v>
      </c>
      <c r="D16" s="444">
        <f>IF(ISNUMBER('Resol  Asuntos'!D16/NºAsuntos!G16),'Resol  Asuntos'!D16/NºAsuntos!G16," - ")</f>
        <v>9.0785907859078585E-2</v>
      </c>
      <c r="E16" s="445">
        <f>IF(ISNUMBER((NºAsuntos!C16+NºAsuntos!E16)/NºAsuntos!G16),(NºAsuntos!C16+NºAsuntos!E16)/NºAsuntos!G16," - ")</f>
        <v>1.4661246612466126</v>
      </c>
      <c r="G16" s="463"/>
    </row>
    <row r="17" spans="1:7" ht="13.5" thickBot="1">
      <c r="A17" s="402" t="str">
        <f>Datos!A17</f>
        <v>Jdos. Violencia contra la mujer</v>
      </c>
      <c r="B17" s="442">
        <f>IF(ISNUMBER(NºAsuntos!G17/NºAsuntos!E17),NºAsuntos!G17/NºAsuntos!E17," - ")</f>
        <v>1.0606060606060606</v>
      </c>
      <c r="C17" s="443">
        <f>IF(ISNUMBER(NºAsuntos!I17/NºAsuntos!G17),NºAsuntos!I17/NºAsuntos!G17," - ")</f>
        <v>0.11428571428571428</v>
      </c>
      <c r="D17" s="444">
        <f>IF(ISNUMBER('Resol  Asuntos'!D17/NºAsuntos!G17),'Resol  Asuntos'!D17/NºAsuntos!G17," - ")</f>
        <v>0.34285714285714286</v>
      </c>
      <c r="E17" s="445">
        <f>IF(ISNUMBER((NºAsuntos!C17+NºAsuntos!E17)/NºAsuntos!G17),(NºAsuntos!C17+NºAsuntos!E17)/NºAsuntos!G17," - ")</f>
        <v>1.1142857142857143</v>
      </c>
      <c r="G17" s="463"/>
    </row>
    <row r="18" spans="1:7" ht="14.25" thickTop="1" thickBot="1">
      <c r="A18" s="848" t="str">
        <f>Datos!A18</f>
        <v>TOTAL</v>
      </c>
      <c r="B18" s="858">
        <f>IF(ISNUMBER(NºAsuntos!G18/NºAsuntos!E18),NºAsuntos!G18/NºAsuntos!E18," - ")</f>
        <v>0.96988707653701378</v>
      </c>
      <c r="C18" s="859">
        <f>IF(ISNUMBER(NºAsuntos!I18/NºAsuntos!G18),NºAsuntos!I18/NºAsuntos!G18," - ")</f>
        <v>0.46701164294954722</v>
      </c>
      <c r="D18" s="862">
        <f>IF(ISNUMBER('Resol  Asuntos'!D18/NºAsuntos!G18),'Resol  Asuntos'!D18/NºAsuntos!G18," - ")</f>
        <v>0.10219922380336352</v>
      </c>
      <c r="E18" s="861">
        <f>IF(ISNUMBER((NºAsuntos!C18+NºAsuntos!E18)/NºAsuntos!G18),(NºAsuntos!C18+NºAsuntos!E18)/NºAsuntos!G18," - ")</f>
        <v>1.4501940491591203</v>
      </c>
      <c r="G18" s="463"/>
    </row>
    <row r="19" spans="1:7" ht="15.75" customHeight="1" thickTop="1" thickBot="1">
      <c r="A19" s="793" t="str">
        <f>Datos!A19</f>
        <v>TOTAL JURISDICCIONES</v>
      </c>
      <c r="B19" s="808">
        <f>IF(ISNUMBER(NºAsuntos!G19/NºAsuntos!E19),NºAsuntos!G19/NºAsuntos!E19," - ")</f>
        <v>0.81793329688354288</v>
      </c>
      <c r="C19" s="809">
        <f>IF(ISNUMBER(NºAsuntos!I19/NºAsuntos!G19),NºAsuntos!I19/NºAsuntos!G19," - ")</f>
        <v>1.179144385026738</v>
      </c>
      <c r="D19" s="810">
        <f>IF(ISNUMBER('Resol  Asuntos'!D19/NºAsuntos!G19),'Resol  Asuntos'!D19/NºAsuntos!G19," - ")</f>
        <v>0.20588235294117646</v>
      </c>
      <c r="E19" s="811">
        <f>IF(ISNUMBER((NºAsuntos!C19+NºAsuntos!E19)/NºAsuntos!G19),(NºAsuntos!C19+NºAsuntos!E19)/NºAsuntos!G19," - ")</f>
        <v>2.1704545454545454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Vp29pn0zgcaft5ibJnLCwl+wAFKzoWcWGZjGJEGqAc4N6heBzk2QY8Sf1aSK0eCufpG7tw11FBAwfi/4SkI+w==" saltValue="5eWNuWUAS+jSwdgo2ELv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TERUEL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6</v>
      </c>
      <c r="AB10" s="334">
        <f>IF(ISNUMBER(Datos!R10),Datos!R10," - ")</f>
        <v>3</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18</v>
      </c>
      <c r="AN10" s="244">
        <f>IF(ISNUMBER('Resol  Asuntos'!D10/NºAsuntos!G10),'Resol  Asuntos'!D10/NºAsuntos!G10," - ")</f>
        <v>1</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99</v>
      </c>
      <c r="Y12" s="334">
        <f t="shared" si="0"/>
        <v>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228</v>
      </c>
      <c r="AJ12" s="229" t="str">
        <f>IF(ISNUMBER(Datos!BW12),Datos!BW12," - ")</f>
        <v xml:space="preserve"> - </v>
      </c>
      <c r="AK12" s="228" t="str">
        <f>IF(ISNUMBER(Datos!BX12),Datos!BX12," - ")</f>
        <v xml:space="preserve"> - </v>
      </c>
      <c r="AL12" s="243">
        <f>IF(ISNUMBER(NºAsuntos!G12/NºAsuntos!E12),NºAsuntos!G12/NºAsuntos!E12," - ")</f>
        <v>0.70097087378640777</v>
      </c>
      <c r="AM12" s="260">
        <f>IF(ISNUMBER(((NºAsuntos!I12/NºAsuntos!G12)*11)/factor_trimestre),((NºAsuntos!I12/NºAsuntos!G12)*11)/factor_trimestre," - ")</f>
        <v>5.8047091412742384</v>
      </c>
      <c r="AN12" s="244">
        <f>IF(ISNUMBER('Resol  Asuntos'!D12/NºAsuntos!G12),'Resol  Asuntos'!D12/NºAsuntos!G12," - ")</f>
        <v>0.31578947368421051</v>
      </c>
      <c r="AO12" s="245">
        <f>IF(ISNUMBER((NºAsuntos!C12+NºAsuntos!E12)/NºAsuntos!G12),(NºAsuntos!C12+NºAsuntos!E12)/NºAsuntos!G12," - ")</f>
        <v>2.9349030470914128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v>
      </c>
      <c r="G13" s="866">
        <f t="shared" si="3"/>
        <v>5</v>
      </c>
      <c r="H13" s="865">
        <f t="shared" si="3"/>
        <v>0</v>
      </c>
      <c r="I13" s="867">
        <f t="shared" si="3"/>
        <v>0</v>
      </c>
      <c r="J13" s="867">
        <f t="shared" si="3"/>
        <v>0</v>
      </c>
      <c r="K13" s="867">
        <f t="shared" si="3"/>
        <v>0</v>
      </c>
      <c r="L13" s="867">
        <f t="shared" si="3"/>
        <v>133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99</v>
      </c>
      <c r="Y13" s="868">
        <f t="shared" si="4"/>
        <v>100</v>
      </c>
      <c r="Z13" s="868">
        <f t="shared" si="4"/>
        <v>0</v>
      </c>
      <c r="AA13" s="868">
        <f t="shared" si="4"/>
        <v>6</v>
      </c>
      <c r="AB13" s="868">
        <f t="shared" si="4"/>
        <v>1345</v>
      </c>
      <c r="AC13" s="868">
        <f t="shared" si="4"/>
        <v>9</v>
      </c>
      <c r="AD13" s="868">
        <f t="shared" si="4"/>
        <v>0</v>
      </c>
      <c r="AE13" s="872">
        <f t="shared" si="4"/>
        <v>0</v>
      </c>
      <c r="AF13" s="865">
        <f t="shared" si="4"/>
        <v>0</v>
      </c>
      <c r="AG13" s="873">
        <f t="shared" si="4"/>
        <v>0</v>
      </c>
      <c r="AH13" s="870">
        <f t="shared" si="4"/>
        <v>0</v>
      </c>
      <c r="AI13" s="865">
        <f t="shared" si="4"/>
        <v>229</v>
      </c>
      <c r="AJ13" s="867">
        <f t="shared" si="4"/>
        <v>0</v>
      </c>
      <c r="AK13" s="870">
        <f>SUBTOTAL(9,AK9:AK12)</f>
        <v>0</v>
      </c>
      <c r="AL13" s="874">
        <f>IF(ISNUMBER(NºAsuntos!G13/NºAsuntos!E13),NºAsuntos!G13/NºAsuntos!E13," - ")</f>
        <v>0.70058139534883723</v>
      </c>
      <c r="AM13" s="874">
        <f>IF(ISNUMBER(((NºAsuntos!I13/NºAsuntos!G13)*11)/factor_trimestre),((NºAsuntos!I13/NºAsuntos!G13)*11)/factor_trimestre," - ")</f>
        <v>5.8215767634854769</v>
      </c>
      <c r="AN13" s="875">
        <f>IF(ISNUMBER('Resol  Asuntos'!D13/NºAsuntos!G13),'Resol  Asuntos'!D13/NºAsuntos!G13," - ")</f>
        <v>0.31673582295988933</v>
      </c>
      <c r="AO13" s="876">
        <f>IF(ISNUMBER((NºAsuntos!C13+NºAsuntos!E13)/NºAsuntos!G13),(NºAsuntos!C13+NºAsuntos!E13)/NºAsuntos!G13," - ")</f>
        <v>2.9405255878284926</v>
      </c>
      <c r="AP13" s="877" t="str">
        <f t="shared" si="2"/>
        <v xml:space="preserve"> - </v>
      </c>
      <c r="AQ13" s="877">
        <f>IF(ISNUMBER((H13-W13+K13)/(F13)),(H13-W13+K13)/(F13)," - ")</f>
        <v>-0.2</v>
      </c>
      <c r="AR13" s="878">
        <f>IF(ISNUMBER((Datos!P13-Datos!Q13)/(Datos!R13-Datos!P13+Datos!Q13)),(Datos!P13-Datos!Q13)/(Datos!R13-Datos!P13+Datos!Q13)," - ")</f>
        <v>2.593440122044241E-2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331</v>
      </c>
      <c r="G16" s="333">
        <f>IF(ISNUMBER(IF(D_I="SI",Datos!I16,Datos!I16+Datos!AC16)),IF(D_I="SI",Datos!I16,Datos!I16+Datos!AC16)," - ")</f>
        <v>318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738</v>
      </c>
      <c r="X16" s="226">
        <f>IF(ISNUMBER(Datos!Q16),Datos!Q16," - ")</f>
        <v>26</v>
      </c>
      <c r="Y16" s="334">
        <f t="shared" ref="Y16:Y17" si="7">SUM(W16:X16)</f>
        <v>764</v>
      </c>
      <c r="Z16" s="335" t="str">
        <f>IF(ISNUMBER(Datos!CC16),Datos!CC16," - ")</f>
        <v xml:space="preserve"> - </v>
      </c>
      <c r="AA16" s="332">
        <f>IF(ISNUMBER(IF(D_I="SI",Datos!L16,Datos!L16+Datos!AF16)),IF(D_I="SI",Datos!L16,Datos!L16+Datos!AF16)," - ")</f>
        <v>357</v>
      </c>
      <c r="AB16" s="334">
        <f>IF(ISNUMBER(Datos!R16),Datos!R16," - ")</f>
        <v>81</v>
      </c>
      <c r="AC16" s="334">
        <f t="shared" si="6"/>
        <v>438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0.96596858638743455</v>
      </c>
      <c r="AM16" s="260">
        <f>IF(ISNUMBER(((NºAsuntos!I16/NºAsuntos!G16)*11)/factor_trimestre),((NºAsuntos!I16/NºAsuntos!G16)*11)/factor_trimestre," - ")</f>
        <v>1.4512195121951221</v>
      </c>
      <c r="AN16" s="244">
        <f>IF(ISNUMBER('Resol  Asuntos'!D16/NºAsuntos!G16),'Resol  Asuntos'!D16/NºAsuntos!G16," - ")</f>
        <v>9.0785907859078585E-2</v>
      </c>
      <c r="AO16" s="245">
        <f>IF(ISNUMBER((NºAsuntos!C16+NºAsuntos!E16)/NºAsuntos!G16),(NºAsuntos!C16+NºAsuntos!E16)/NºAsuntos!G16," - ")</f>
        <v>1.4661246612466126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v>
      </c>
      <c r="X17" s="226">
        <f>IF(ISNUMBER(Datos!Q17),Datos!Q17," - ")</f>
        <v>0</v>
      </c>
      <c r="Y17" s="334">
        <f t="shared" si="7"/>
        <v>35</v>
      </c>
      <c r="Z17" s="335" t="str">
        <f>IF(ISNUMBER(Datos!CC17),Datos!CC17," - ")</f>
        <v xml:space="preserve"> - </v>
      </c>
      <c r="AA17" s="332">
        <f>IF(ISNUMBER(Datos!L17),Datos!L17,"-")</f>
        <v>4</v>
      </c>
      <c r="AB17" s="334">
        <f>IF(ISNUMBER(Datos!R17),Datos!R17," - ")</f>
        <v>5</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1.0606060606060606</v>
      </c>
      <c r="AM17" s="260">
        <f>IF(ISNUMBER(((NºAsuntos!I17/NºAsuntos!G17)*11)/factor_trimestre),((NºAsuntos!I17/NºAsuntos!G17)*11)/factor_trimestre," - ")</f>
        <v>0.34285714285714286</v>
      </c>
      <c r="AN17" s="244">
        <f>IF(ISNUMBER('Resol  Asuntos'!D17/NºAsuntos!G17),'Resol  Asuntos'!D17/NºAsuntos!G17," - ")</f>
        <v>0.34285714285714286</v>
      </c>
      <c r="AO17" s="245">
        <f>IF(ISNUMBER((NºAsuntos!C17+NºAsuntos!E17)/NºAsuntos!G17),(NºAsuntos!C17+NºAsuntos!E17)/NºAsuntos!G17," - ")</f>
        <v>1.1142857142857143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331</v>
      </c>
      <c r="G18" s="866">
        <f>SUBTOTAL(9,G15:G17)</f>
        <v>324</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773</v>
      </c>
      <c r="X18" s="867">
        <f t="shared" si="11"/>
        <v>26</v>
      </c>
      <c r="Y18" s="868">
        <f t="shared" si="11"/>
        <v>799</v>
      </c>
      <c r="Z18" s="868">
        <f t="shared" si="11"/>
        <v>0</v>
      </c>
      <c r="AA18" s="868">
        <f t="shared" si="11"/>
        <v>361</v>
      </c>
      <c r="AB18" s="868">
        <f t="shared" si="11"/>
        <v>86</v>
      </c>
      <c r="AC18" s="868">
        <f t="shared" si="11"/>
        <v>447</v>
      </c>
      <c r="AD18" s="868">
        <f t="shared" si="11"/>
        <v>0</v>
      </c>
      <c r="AE18" s="872">
        <f t="shared" si="11"/>
        <v>0</v>
      </c>
      <c r="AF18" s="865">
        <f t="shared" si="11"/>
        <v>0</v>
      </c>
      <c r="AG18" s="873">
        <f t="shared" si="11"/>
        <v>0</v>
      </c>
      <c r="AH18" s="870">
        <f t="shared" si="11"/>
        <v>0</v>
      </c>
      <c r="AI18" s="865">
        <f t="shared" si="11"/>
        <v>79</v>
      </c>
      <c r="AJ18" s="867">
        <f t="shared" si="11"/>
        <v>0</v>
      </c>
      <c r="AK18" s="870">
        <f t="shared" si="11"/>
        <v>0</v>
      </c>
      <c r="AL18" s="874">
        <f>IF(ISNUMBER(NºAsuntos!G18/NºAsuntos!E18),NºAsuntos!G18/NºAsuntos!E18," - ")</f>
        <v>0.96988707653701378</v>
      </c>
      <c r="AM18" s="874">
        <f>IF(ISNUMBER(((NºAsuntos!I18/NºAsuntos!G18)*11)/factor_trimestre),((NºAsuntos!I18/NºAsuntos!G18)*11)/factor_trimestre," - ")</f>
        <v>1.4010349288486417</v>
      </c>
      <c r="AN18" s="875">
        <f>IF(ISNUMBER('Resol  Asuntos'!D18/NºAsuntos!G18),'Resol  Asuntos'!D18/NºAsuntos!G18," - ")</f>
        <v>0.10219922380336352</v>
      </c>
      <c r="AO18" s="876">
        <f>IF(ISNUMBER((NºAsuntos!C18+NºAsuntos!E18)/NºAsuntos!G18),(NºAsuntos!C18+NºAsuntos!E18)/NºAsuntos!G18," - ")</f>
        <v>1.4501940491591203</v>
      </c>
      <c r="AP18" s="877" t="str">
        <f t="shared" si="2"/>
        <v xml:space="preserve"> - </v>
      </c>
      <c r="AQ18" s="877">
        <f>IF(ISNUMBER((H18-W18+K18)/(F18)),(H18-W18+K18)/(F18)," - ")</f>
        <v>-2.3353474320241694</v>
      </c>
      <c r="AR18" s="878">
        <f>IF(ISNUMBER((Datos!P18-Datos!Q18)/(Datos!R18-Datos!P18+Datos!Q18)),(Datos!P18-Datos!Q18)/(Datos!R18-Datos!P18+Datos!Q18)," - ")</f>
        <v>-0.14000000000000001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336</v>
      </c>
      <c r="G19" s="821">
        <f t="shared" si="13"/>
        <v>329</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774</v>
      </c>
      <c r="X19" s="821">
        <f t="shared" si="14"/>
        <v>125</v>
      </c>
      <c r="Y19" s="828">
        <f t="shared" si="14"/>
        <v>899</v>
      </c>
      <c r="Z19" s="828">
        <f t="shared" si="14"/>
        <v>0</v>
      </c>
      <c r="AA19" s="828">
        <f t="shared" si="14"/>
        <v>367</v>
      </c>
      <c r="AB19" s="828">
        <f t="shared" si="14"/>
        <v>1431</v>
      </c>
      <c r="AC19" s="828">
        <f t="shared" si="14"/>
        <v>456</v>
      </c>
      <c r="AD19" s="828">
        <f t="shared" si="14"/>
        <v>0</v>
      </c>
      <c r="AE19" s="830">
        <f t="shared" si="14"/>
        <v>0</v>
      </c>
      <c r="AF19" s="831">
        <f t="shared" si="14"/>
        <v>0</v>
      </c>
      <c r="AG19" s="832">
        <f t="shared" si="14"/>
        <v>0</v>
      </c>
      <c r="AH19" s="830">
        <f t="shared" si="14"/>
        <v>0</v>
      </c>
      <c r="AI19" s="820">
        <f t="shared" si="14"/>
        <v>308</v>
      </c>
      <c r="AJ19" s="820">
        <f t="shared" si="14"/>
        <v>0</v>
      </c>
      <c r="AK19" s="830">
        <f t="shared" si="14"/>
        <v>0</v>
      </c>
      <c r="AL19" s="884">
        <f>IF(ISNUMBER(NºAsuntos!G19/NºAsuntos!E19),NºAsuntos!G19/NºAsuntos!E19," - ")</f>
        <v>0.81793329688354288</v>
      </c>
      <c r="AM19" s="885">
        <f>IF(ISNUMBER(((NºAsuntos!I19/NºAsuntos!G19)*11)/factor_trimestre),((NºAsuntos!I19/NºAsuntos!G19)*11)/factor_trimestre," - ")</f>
        <v>3.5374331550802141</v>
      </c>
      <c r="AN19" s="885">
        <f>IF(ISNUMBER('Resol  Asuntos'!D19/NºAsuntos!G19),'Resol  Asuntos'!D19/NºAsuntos!G19," - ")</f>
        <v>0.20588235294117646</v>
      </c>
      <c r="AO19" s="886">
        <f>IF(ISNUMBER((NºAsuntos!C19+NºAsuntos!E19)/NºAsuntos!G19),(NºAsuntos!C19+NºAsuntos!E19)/NºAsuntos!G19," - ")</f>
        <v>2.1704545454545454</v>
      </c>
      <c r="AP19" s="887" t="str">
        <f t="shared" si="2"/>
        <v xml:space="preserve"> - </v>
      </c>
      <c r="AQ19" s="888">
        <f>IF(OR(ISNUMBER(FIND("01",Criterios!A8,1)),ISNUMBER(FIND("02",Criterios!A8,1)),ISNUMBER(FIND("03",Criterios!A8,1)),ISNUMBER(FIND("04",Criterios!A8,1))),(I19-W19+K19)/(F19-K19),(H19-W19+K19)/(F19-K19))</f>
        <v>-2.3035714285714284</v>
      </c>
      <c r="AR19" s="889">
        <f>IF(ISNUMBER((Datos!P19-Datos!Q19)/(Datos!R19-Datos!P19+Datos!Q19)),(Datos!P19-Datos!Q19)/(Datos!R19-Datos!P19+Datos!Q19)," - ")</f>
        <v>1.4174344436569808E-2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188.216187755818</v>
      </c>
      <c r="G21" s="253">
        <f>IF(ISNUMBER(STDEV(G8:G18)),STDEV(G8:G18),"-")</f>
        <v>172.91124891111048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407.47368013161292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102.0365947426053</v>
      </c>
      <c r="AJ21" s="252">
        <f t="shared" si="18"/>
        <v>0</v>
      </c>
      <c r="AK21" s="254">
        <f t="shared" si="18"/>
        <v>0</v>
      </c>
      <c r="AL21" s="249">
        <f t="shared" si="18"/>
        <v>0.21559796486178229</v>
      </c>
      <c r="AM21" s="250">
        <f t="shared" si="18"/>
        <v>6.5761873960729211</v>
      </c>
      <c r="AN21" s="250">
        <f t="shared" si="18"/>
        <v>0.33245933148083423</v>
      </c>
      <c r="AO21" s="251">
        <f t="shared" si="18"/>
        <v>2.1963107528451045</v>
      </c>
      <c r="AP21" s="291" t="str">
        <f t="shared" si="18"/>
        <v>-</v>
      </c>
      <c r="AQ21" s="292">
        <f t="shared" si="18"/>
        <v>1.5099186493735703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572eq66fMwvMUa7GGU9kN0kYBkS3PVN1wYcZ0yOGDyskO4I6zdoKtMZ7RWb3rzpj7GpezegnduR1pfMw5uQHg==" saltValue="1In/poIRo+wFE/wfXGepz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TERUEL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1</v>
      </c>
      <c r="F10" s="348">
        <f>IF(ISNUMBER((Datos!K10-Datos!U10)/Datos!U10),(Datos!K10-Datos!U10)/Datos!U10," - ")</f>
        <v>-0.5</v>
      </c>
      <c r="G10" s="349">
        <f>IF(ISNUMBER((Datos!L10-Datos!V10)/Datos!V10),(Datos!L10-Datos!V10)/Datos!V10," - ")</f>
        <v>0.2</v>
      </c>
      <c r="H10" s="230">
        <f>IF(ISNUMBER((Datos!M10-Datos!W10)/Datos!W10),(Datos!M10-Datos!W10)/Datos!W10," - ")</f>
        <v>-0.5</v>
      </c>
      <c r="I10" s="350">
        <f>IF(ISNUMBER((Tasas!C10-Datos!BE10)/Datos!BE10),(Tasas!C10-Datos!BE10)/Datos!BE10," - ")</f>
        <v>1.4</v>
      </c>
      <c r="J10" s="349">
        <f>IF(ISNUMBER((Tasas!D10-Datos!BF10)/Datos!BF10),(Tasas!D10-Datos!BF10)/Datos!BF10," - ")</f>
        <v>0</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0.57241379310344831</v>
      </c>
      <c r="I12" s="350">
        <f>IF(ISNUMBER((Tasas!C12-Datos!BE12)/Datos!BE12),(Tasas!C12-Datos!BE12)/Datos!BE12," - ")</f>
        <v>0.30848076134509811</v>
      </c>
      <c r="J12" s="349">
        <f>IF(ISNUMBER((Tasas!D12-Datos!BF12)/Datos!BF12),(Tasas!D12-Datos!BF12)/Datos!BF12," - ")</f>
        <v>-0.30130203557674679</v>
      </c>
      <c r="K12" s="351">
        <f>IF(ISNUMBER((Tasas!E12-Datos!BG12)/Datos!BG12),(Tasas!E12-Datos!BG12)/Datos!BG12," - ")</f>
        <v>0.18403013653306668</v>
      </c>
      <c r="M12" t="e">
        <f>IF(Monitorios="SI",Datos!CE12,0)</f>
        <v>#REF!</v>
      </c>
      <c r="N12" t="e">
        <f>IF(Monitorios="SI",Datos!CF12,0)</f>
        <v>#REF!</v>
      </c>
      <c r="O12" t="e">
        <f>IF(Monitorios="SI",Datos!CG12,0)</f>
        <v>#REF!</v>
      </c>
      <c r="P12" t="e">
        <f>IF(Monitorios="SI",Datos!CH12,0)</f>
        <v>#REF!</v>
      </c>
      <c r="Q12">
        <f>IF(J_V="SI",0,Datos!AG12)</f>
        <v>30</v>
      </c>
      <c r="R12">
        <f>IF(J_V="SI",0,Datos!AH12)</f>
        <v>43</v>
      </c>
      <c r="S12">
        <f>IF(J_V="SI",0,Datos!AI12)</f>
        <v>41</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0.55782312925170063</v>
      </c>
      <c r="I13" s="357">
        <f>IF(ISNUMBER((Tasas!C13-Datos!BE13)/Datos!BE13),(Tasas!C13-Datos!BE13)/Datos!BE13," - ")</f>
        <v>0.30944364348172637</v>
      </c>
      <c r="J13" s="355">
        <f>IF(ISNUMBER((Tasas!D13-Datos!BF13)/Datos!BF13),(Tasas!D13-Datos!BF13)/Datos!BF13," - ")</f>
        <v>-0.30186602344135116</v>
      </c>
      <c r="K13" s="358">
        <f>IF(ISNUMBER((Tasas!E13-Datos!BG13)/Datos!BG13),(Tasas!E13-Datos!BG13)/Datos!BG13," - ")</f>
        <v>0.1847658440523402</v>
      </c>
      <c r="M13" t="e">
        <f>IF(Monitorios="SI",Datos!CE13,0)</f>
        <v>#REF!</v>
      </c>
      <c r="N13" t="e">
        <f>IF(Monitorios="SI",Datos!CF13,0)</f>
        <v>#REF!</v>
      </c>
      <c r="O13" t="e">
        <f>IF(Monitorios="SI",Datos!CG13,0)</f>
        <v>#REF!</v>
      </c>
      <c r="P13" t="e">
        <f>IF(Monitorios="SI",Datos!CH13,0)</f>
        <v>#REF!</v>
      </c>
      <c r="Q13">
        <f>IF(J_V="SI",0,Datos!AG13)</f>
        <v>30</v>
      </c>
      <c r="R13">
        <f>IF(J_V="SI",0,Datos!AH13)</f>
        <v>43</v>
      </c>
      <c r="S13">
        <f>IF(J_V="SI",0,Datos!AI13)</f>
        <v>41</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1.2738853503184714E-2</v>
      </c>
      <c r="E16" s="348">
        <f>IF(ISNUMBER(
   IF(D_I="SI",(Datos!J16-Datos!T16)/Datos!T16,(Datos!J16+Datos!AD16-(Datos!T16+Datos!AL16))/(Datos!T16+Datos!AL16))
     ),IF(D_I="SI",(Datos!J16-Datos!T16)/Datos!T16,(Datos!J16+Datos!AD16-(Datos!T16+Datos!AL16))/(Datos!T16+Datos!AL16))," - ")</f>
        <v>9.2989985693848351E-2</v>
      </c>
      <c r="F16" s="348">
        <f>IF(ISNUMBER(
   IF(D_I="SI",(Datos!K16-Datos!U16)/Datos!U16,(Datos!K16+Datos!AE16-(Datos!U16+Datos!AM16))/(Datos!U16+Datos!AM16))
     ),IF(D_I="SI",(Datos!K16-Datos!U16)/Datos!U16,(Datos!K16+Datos!AE16-(Datos!U16+Datos!AM16))/(Datos!U16+Datos!AM16))," - ")</f>
        <v>5.730659025787966E-2</v>
      </c>
      <c r="G16" s="349">
        <f>IF(ISNUMBER(
   IF(D_I="SI",(Datos!L16-Datos!V16)/Datos!V16,(Datos!L16+Datos!AF16-(Datos!V16+Datos!AN16))/(Datos!V16+Datos!AN16))
     ),IF(D_I="SI",(Datos!L16-Datos!V16)/Datos!V16,(Datos!L16+Datos!AF16-(Datos!V16+Datos!AN16))/(Datos!V16+Datos!AN16))," - ")</f>
        <v>0.11214953271028037</v>
      </c>
      <c r="H16" s="230">
        <f>IF(ISNUMBER((Datos!M16-Datos!W16)/Datos!W16),(Datos!M16-Datos!W16)/Datos!W16," - ")</f>
        <v>0.15517241379310345</v>
      </c>
      <c r="I16" s="350">
        <f>IF(ISNUMBER((Tasas!C16-Datos!BE16)/Datos!BE16),(Tasas!C16-Datos!BE16)/Datos!BE16," - ")</f>
        <v>5.1870425246308534E-2</v>
      </c>
      <c r="J16" s="349">
        <f>IF(ISNUMBER((Tasas!D16-Datos!BF16)/Datos!BF16),(Tasas!D16-Datos!BF16)/Datos!BF16," - ")</f>
        <v>9.2561442855807793E-2</v>
      </c>
      <c r="K16" s="351">
        <f>IF(ISNUMBER((Tasas!E16-Datos!BG16)/Datos!BG16),(Tasas!E16-Datos!BG16)/Datos!BG16," - ")</f>
        <v>1.0222125913263078E-2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0.26923076923076922</v>
      </c>
      <c r="F17" s="348">
        <f>IF(ISNUMBER(
   IF(D_I="SI",(Datos!K17-Datos!U17)/Datos!U17,(Datos!K17+Datos!AE17-(Datos!U17+Datos!AM17))/(Datos!U17+Datos!AM17))
     ),IF(D_I="SI",(Datos!K17-Datos!U17)/Datos!U17,(Datos!K17+Datos!AE17-(Datos!U17+Datos!AM17))/(Datos!U17+Datos!AM17))," - ")</f>
        <v>0.34615384615384615</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0.7142857142857143</v>
      </c>
      <c r="I17" s="350">
        <f>IF(ISNUMBER((Tasas!C17-Datos!BE17)/Datos!BE17),(Tasas!C17-Datos!BE17)/Datos!BE17," - ")</f>
        <v>-0.50476190476190486</v>
      </c>
      <c r="J17" s="349">
        <f>IF(ISNUMBER((Tasas!D17-Datos!BF17)/Datos!BF17),(Tasas!D17-Datos!BF17)/Datos!BF17," - ")</f>
        <v>0.2734693877551021</v>
      </c>
      <c r="K17" s="351">
        <f>IF(ISNUMBER((Tasas!E17-Datos!BG17)/Datos!BG17),(Tasas!E17-Datos!BG17)/Datos!BG17," - ")</f>
        <v>-9.4642857142857167E-2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1.2500000000000001E-2</v>
      </c>
      <c r="E18" s="354">
        <f>IF(ISNUMBER(
   IF(D_I="SI",(Datos!J18-Datos!T18)/Datos!T18,(Datos!J18+Datos!AD18-(Datos!T18+Datos!AL18))/(Datos!T18+Datos!AL18))
     ),IF(D_I="SI",(Datos!J18-Datos!T18)/Datos!T18,(Datos!J18+Datos!AD18-(Datos!T18+Datos!AL18))/(Datos!T18+Datos!AL18))," - ")</f>
        <v>9.9310344827586203E-2</v>
      </c>
      <c r="F18" s="354">
        <f>IF(ISNUMBER(
   IF(D_I="SI",(Datos!K18-Datos!U18)/Datos!U18,(Datos!K18+Datos!AE18-(Datos!U18+Datos!AM18))/(Datos!U18+Datos!AM18))
     ),IF(D_I="SI",(Datos!K18-Datos!U18)/Datos!U18,(Datos!K18+Datos!AE18-(Datos!U18+Datos!AM18))/(Datos!U18+Datos!AM18))," - ")</f>
        <v>6.7679558011049717E-2</v>
      </c>
      <c r="G18" s="355">
        <f>IF(ISNUMBER(
   IF(D_I="SI",(Datos!L18-Datos!V18)/Datos!V18,(Datos!L18+Datos!AF18-(Datos!V18+Datos!AN18))/(Datos!V18+Datos!AN18))
     ),IF(D_I="SI",(Datos!L18-Datos!V18)/Datos!V18,(Datos!L18+Datos!AF18-(Datos!V18+Datos!AN18))/(Datos!V18+Datos!AN18))," - ")</f>
        <v>0.10397553516819572</v>
      </c>
      <c r="H18" s="356">
        <f>IF(ISNUMBER((Datos!M18-Datos!W18)/Datos!W18),(Datos!M18-Datos!W18)/Datos!W18," - ")</f>
        <v>0.2153846153846154</v>
      </c>
      <c r="I18" s="357">
        <f>IF(ISNUMBER((Tasas!C18-Datos!BE18)/Datos!BE18),(Tasas!C18-Datos!BE18)/Datos!BE18," - ")</f>
        <v>3.3995197233859943E-2</v>
      </c>
      <c r="J18" s="355">
        <f>IF(ISNUMBER((Tasas!D18-Datos!BF18)/Datos!BF18),(Tasas!D18-Datos!BF18)/Datos!BF18," - ")</f>
        <v>0.13834212359438744</v>
      </c>
      <c r="K18" s="358">
        <f>IF(ISNUMBER((Tasas!E18-Datos!BG18)/Datos!BG18),(Tasas!E18-Datos!BG18)/Datos!BG18," - ")</f>
        <v>4.7277431494766146E-3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0.24059492563429571</v>
      </c>
      <c r="E19" s="363">
        <f>IF(ISNUMBER(
   IF(J_V="SI",(Datos!J19-Datos!T19)/Datos!T19,(Datos!J19+Datos!Z19-(Datos!T19+Datos!AH19))/(Datos!T19+Datos!AH19))
     ),IF(J_V="SI",(Datos!J19-Datos!T19)/Datos!T19,(Datos!J19+Datos!Z19-(Datos!T19+Datos!AH19))/(Datos!T19+Datos!AH19))," - ")</f>
        <v>0.23331085637221849</v>
      </c>
      <c r="F19" s="363">
        <f>IF(ISNUMBER(
   IF(J_V="SI",(Datos!K19-Datos!U19)/Datos!U19,(Datos!K19+Datos!AA19-(Datos!U19+Datos!AI19))/(Datos!U19+Datos!AI19))
     ),IF(J_V="SI",(Datos!K19-Datos!U19)/Datos!U19,(Datos!K19+Datos!AA19-(Datos!U19+Datos!AI19))/(Datos!U19+Datos!AI19))," - ")</f>
        <v>9.9191770756796471E-2</v>
      </c>
      <c r="G19" s="364">
        <f>IF(ISNUMBER(
   IF(J_V="SI",(Datos!L19-Datos!V19)/Datos!V19,(Datos!L19+Datos!AB19-(Datos!V19+Datos!AJ19))/(Datos!V19+Datos!AJ19))
     ),IF(J_V="SI",(Datos!L19-Datos!V19)/Datos!V19,(Datos!L19+Datos!AB19-(Datos!V19+Datos!AJ19))/(Datos!V19+Datos!AJ19))," - ")</f>
        <v>0.38788355625491738</v>
      </c>
      <c r="H19" s="365">
        <f>IF(ISNUMBER((Datos!M19-Datos!W19)/Datos!W19),(Datos!M19-Datos!W19)/Datos!W19," - ")</f>
        <v>0.45283018867924529</v>
      </c>
      <c r="I19" s="362">
        <f>IF(ISNUMBER((Tasas!C19-Datos!BE19)/Datos!BE19),(Tasas!C19-Datos!BE19)/Datos!BE19," - ")</f>
        <v>0.26264005351800984</v>
      </c>
      <c r="J19" s="363">
        <f>IF(ISNUMBER((Tasas!D19-Datos!BF19)/Datos!BF19),(Tasas!D19-Datos!BF19)/Datos!BF19," - ")</f>
        <v>-0.20845795945496845</v>
      </c>
      <c r="K19" s="364">
        <f>IF(ISNUMBER((Tasas!E19-Datos!BG19)/Datos!BG19),(Tasas!E19-Datos!BG19)/Datos!BG19," - ")</f>
        <v>0.12490047081631232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8.7741760453241779E-2</v>
      </c>
      <c r="E21" s="278">
        <f t="shared" si="1"/>
        <v>0.43088149965854355</v>
      </c>
      <c r="F21" s="278">
        <f t="shared" si="1"/>
        <v>0.35471999665754056</v>
      </c>
      <c r="G21" s="279">
        <f t="shared" si="1"/>
        <v>0.2399902240262505</v>
      </c>
      <c r="H21" s="285">
        <f t="shared" si="1"/>
        <v>0.44254888458231373</v>
      </c>
      <c r="I21" s="277">
        <f t="shared" si="1"/>
        <v>0.62982506366641522</v>
      </c>
      <c r="J21" s="278">
        <f t="shared" si="1"/>
        <v>0.23781124329958034</v>
      </c>
      <c r="K21" s="279">
        <f t="shared" si="1"/>
        <v>0.40003129908080309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v38aqNBso5ezHVp77WcrprfWkFV/EgIUTj1Kybd0BPCjgveIKCRjm9fBQd5Fb3MFQrlfPQMcYSys0P82QoWog==" saltValue="wml5MjoD7k5Cj2P0k1vys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